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 yWindow="1170" windowWidth="9720" windowHeight="7320" tabRatio="489" activeTab="0"/>
  </bookViews>
  <sheets>
    <sheet name="Anex 1-2" sheetId="1" r:id="rId1"/>
    <sheet name="Anex 3-4 HECHO" sheetId="2" r:id="rId2"/>
    <sheet name="Anex 3-4 HACER" sheetId="3" r:id="rId3"/>
    <sheet name="Exhib 1-2" sheetId="4" r:id="rId4"/>
    <sheet name="Exh 3-4 DONE" sheetId="5" r:id="rId5"/>
    <sheet name="Exh 3-4 TO DO" sheetId="6" r:id="rId6"/>
    <sheet name="Ejemplo PENDING" sheetId="7" r:id="rId7"/>
    <sheet name="Example PENDING" sheetId="8" r:id="rId8"/>
    <sheet name="Sheet1" sheetId="9" r:id="rId9"/>
  </sheets>
  <definedNames>
    <definedName name="_ftn1" localSheetId="0">'Anex 1-2'!#REF!</definedName>
    <definedName name="_ftn1" localSheetId="2">'Anex 3-4 HACER'!#REF!</definedName>
    <definedName name="_ftn1" localSheetId="1">'Anex 3-4 HECHO'!#REF!</definedName>
    <definedName name="_ftn1" localSheetId="4">'Exh 3-4 DONE'!#REF!</definedName>
    <definedName name="_ftn1" localSheetId="5">'Exh 3-4 TO DO'!#REF!</definedName>
    <definedName name="_ftn1" localSheetId="3">'Exhib 1-2'!#REF!</definedName>
    <definedName name="_ftnref1" localSheetId="0">'Anex 1-2'!#REF!</definedName>
    <definedName name="_ftnref1" localSheetId="2">'Anex 3-4 HACER'!#REF!</definedName>
    <definedName name="_ftnref1" localSheetId="1">'Anex 3-4 HECHO'!#REF!</definedName>
    <definedName name="_ftnref1" localSheetId="4">'Exh 3-4 DONE'!#REF!</definedName>
    <definedName name="_ftnref1" localSheetId="5">'Exh 3-4 TO DO'!#REF!</definedName>
    <definedName name="_ftnref1" localSheetId="3">'Exhib 1-2'!#REF!</definedName>
    <definedName name="_xlnm.Print_Area" localSheetId="0">'Anex 1-2'!$A$1:$K$107</definedName>
    <definedName name="_xlnm.Print_Area" localSheetId="2">'Anex 3-4 HACER'!$A$1:$K$107</definedName>
    <definedName name="_xlnm.Print_Area" localSheetId="1">'Anex 3-4 HECHO'!$A$1:$K$107</definedName>
    <definedName name="_xlnm.Print_Area" localSheetId="6">'Ejemplo PENDING'!$A$1:$H$55</definedName>
    <definedName name="_xlnm.Print_Area" localSheetId="7">'Example PENDING'!$A$1:$H$55</definedName>
    <definedName name="_xlnm.Print_Area" localSheetId="4">'Exh 3-4 DONE'!$A$1:$K$108</definedName>
    <definedName name="_xlnm.Print_Area" localSheetId="5">'Exh 3-4 TO DO'!$A$1:$K$108</definedName>
    <definedName name="_xlnm.Print_Area" localSheetId="3">'Exhib 1-2'!$A$1:$K$107</definedName>
    <definedName name="solver_adj" localSheetId="0" hidden="1">'Anex 1-2'!#REF!,'Anex 1-2'!$E$30:$E$31,'Anex 1-2'!#REF!,'Anex 1-2'!$C$15,'Anex 1-2'!$C$29:$C$30,'Anex 1-2'!$M$5,'Anex 1-2'!$C$13,'Anex 1-2'!$E$33,'Anex 1-2'!$G$19:$K$20,'Anex 1-2'!$C$11,'Anex 1-2'!#REF!,'Anex 1-2'!$G$21:$K$21,'Anex 1-2'!$E$5</definedName>
    <definedName name="solver_adj" localSheetId="2" hidden="1">'Anex 3-4 HACER'!#REF!,'Anex 3-4 HACER'!$E$28:$E$29,'Anex 3-4 HACER'!#REF!,'Anex 3-4 HACER'!$C$13,'Anex 3-4 HACER'!$C$27:$C$28,'Anex 3-4 HACER'!#REF!,'Anex 3-4 HACER'!$C$11,'Anex 3-4 HACER'!$E$31,'Anex 3-4 HACER'!$G$17:$K$18,'Anex 3-4 HACER'!$C$9,'Anex 3-4 HACER'!#REF!,'Anex 3-4 HACER'!$G$19:$K$19,'Anex 3-4 HACER'!$F$4</definedName>
    <definedName name="solver_adj" localSheetId="1" hidden="1">'Anex 3-4 HECHO'!#REF!,'Anex 3-4 HECHO'!$E$28:$E$29,'Anex 3-4 HECHO'!#REF!,'Anex 3-4 HECHO'!$C$13,'Anex 3-4 HECHO'!$C$27:$C$28,'Anex 3-4 HECHO'!#REF!,'Anex 3-4 HECHO'!$C$11,'Anex 3-4 HECHO'!$E$31,'Anex 3-4 HECHO'!$G$17:$K$18,'Anex 3-4 HECHO'!$C$9,'Anex 3-4 HECHO'!#REF!,'Anex 3-4 HECHO'!$G$19:$K$19,'Anex 3-4 HECHO'!$F$4</definedName>
    <definedName name="solver_adj" localSheetId="4" hidden="1">'Exh 3-4 DONE'!#REF!,'Exh 3-4 DONE'!$E$28:$E$29,'Exh 3-4 DONE'!#REF!,'Exh 3-4 DONE'!$C$13,'Exh 3-4 DONE'!$C$27:$C$28,'Exh 3-4 DONE'!$M$4,'Exh 3-4 DONE'!$C$11,'Exh 3-4 DONE'!$E$31,'Exh 3-4 DONE'!$G$17:$K$18,'Exh 3-4 DONE'!$C$9,'Exh 3-4 DONE'!#REF!,'Exh 3-4 DONE'!$G$19:$K$19,'Exh 3-4 DONE'!$F$4</definedName>
    <definedName name="solver_adj" localSheetId="5" hidden="1">'Exh 3-4 TO DO'!#REF!,'Exh 3-4 TO DO'!$E$28:$E$29,'Exh 3-4 TO DO'!#REF!,'Exh 3-4 TO DO'!$C$13,'Exh 3-4 TO DO'!$C$27:$C$28,'Exh 3-4 TO DO'!$M$4,'Exh 3-4 TO DO'!$C$11,'Exh 3-4 TO DO'!$E$31,'Exh 3-4 TO DO'!$G$17:$K$18,'Exh 3-4 TO DO'!$C$9,'Exh 3-4 TO DO'!#REF!,'Exh 3-4 TO DO'!$G$19:$K$19,'Exh 3-4 TO DO'!$F$4</definedName>
    <definedName name="solver_adj" localSheetId="3" hidden="1">'Exhib 1-2'!#REF!,'Exhib 1-2'!$E$30:$E$31,'Exhib 1-2'!#REF!,'Exhib 1-2'!$C$15,'Exhib 1-2'!$C$29:$C$30,'Exhib 1-2'!$M$5,'Exhib 1-2'!$C$13,'Exhib 1-2'!$E$33,'Exhib 1-2'!$G$19:$K$20,'Exhib 1-2'!$C$11,'Exhib 1-2'!#REF!,'Exhib 1-2'!$G$21:$K$21,'Exhib 1-2'!$E$5</definedName>
    <definedName name="solver_cvg" localSheetId="0" hidden="1">0.0001</definedName>
    <definedName name="solver_cvg" localSheetId="2" hidden="1">0.0001</definedName>
    <definedName name="solver_cvg" localSheetId="1" hidden="1">0.0001</definedName>
    <definedName name="solver_cvg" localSheetId="4" hidden="1">0.0001</definedName>
    <definedName name="solver_cvg" localSheetId="5" hidden="1">0.0001</definedName>
    <definedName name="solver_cvg" localSheetId="3" hidden="1">0.0001</definedName>
    <definedName name="solver_drv" localSheetId="0" hidden="1">1</definedName>
    <definedName name="solver_drv" localSheetId="2" hidden="1">1</definedName>
    <definedName name="solver_drv" localSheetId="1" hidden="1">1</definedName>
    <definedName name="solver_drv" localSheetId="4" hidden="1">1</definedName>
    <definedName name="solver_drv" localSheetId="5" hidden="1">1</definedName>
    <definedName name="solver_drv" localSheetId="3" hidden="1">1</definedName>
    <definedName name="solver_est" localSheetId="0" hidden="1">1</definedName>
    <definedName name="solver_est" localSheetId="2" hidden="1">1</definedName>
    <definedName name="solver_est" localSheetId="1" hidden="1">1</definedName>
    <definedName name="solver_est" localSheetId="4" hidden="1">1</definedName>
    <definedName name="solver_est" localSheetId="5" hidden="1">1</definedName>
    <definedName name="solver_est" localSheetId="3" hidden="1">1</definedName>
    <definedName name="solver_itr" localSheetId="0" hidden="1">100</definedName>
    <definedName name="solver_itr" localSheetId="2" hidden="1">100</definedName>
    <definedName name="solver_itr" localSheetId="1" hidden="1">100</definedName>
    <definedName name="solver_itr" localSheetId="4" hidden="1">100</definedName>
    <definedName name="solver_itr" localSheetId="5" hidden="1">100</definedName>
    <definedName name="solver_itr" localSheetId="3" hidden="1">100</definedName>
    <definedName name="solver_lin" localSheetId="0" hidden="1">2</definedName>
    <definedName name="solver_lin" localSheetId="2" hidden="1">2</definedName>
    <definedName name="solver_lin" localSheetId="1" hidden="1">2</definedName>
    <definedName name="solver_lin" localSheetId="4" hidden="1">2</definedName>
    <definedName name="solver_lin" localSheetId="5" hidden="1">2</definedName>
    <definedName name="solver_lin" localSheetId="3" hidden="1">2</definedName>
    <definedName name="solver_neg" localSheetId="0" hidden="1">2</definedName>
    <definedName name="solver_neg" localSheetId="2" hidden="1">2</definedName>
    <definedName name="solver_neg" localSheetId="1" hidden="1">2</definedName>
    <definedName name="solver_neg" localSheetId="4" hidden="1">2</definedName>
    <definedName name="solver_neg" localSheetId="5" hidden="1">2</definedName>
    <definedName name="solver_neg" localSheetId="3" hidden="1">2</definedName>
    <definedName name="solver_num" localSheetId="0" hidden="1">0</definedName>
    <definedName name="solver_num" localSheetId="2" hidden="1">0</definedName>
    <definedName name="solver_num" localSheetId="1" hidden="1">0</definedName>
    <definedName name="solver_num" localSheetId="4" hidden="1">0</definedName>
    <definedName name="solver_num" localSheetId="5" hidden="1">0</definedName>
    <definedName name="solver_num" localSheetId="3" hidden="1">0</definedName>
    <definedName name="solver_nwt" localSheetId="0" hidden="1">1</definedName>
    <definedName name="solver_nwt" localSheetId="2" hidden="1">1</definedName>
    <definedName name="solver_nwt" localSheetId="1" hidden="1">1</definedName>
    <definedName name="solver_nwt" localSheetId="4" hidden="1">1</definedName>
    <definedName name="solver_nwt" localSheetId="5" hidden="1">1</definedName>
    <definedName name="solver_nwt" localSheetId="3" hidden="1">1</definedName>
    <definedName name="solver_opt" localSheetId="0" hidden="1">'Anex 1-2'!$I$74</definedName>
    <definedName name="solver_opt" localSheetId="2" hidden="1">'Anex 3-4 HACER'!$I$72</definedName>
    <definedName name="solver_opt" localSheetId="1" hidden="1">'Anex 3-4 HECHO'!$I$72</definedName>
    <definedName name="solver_opt" localSheetId="4" hidden="1">'Exh 3-4 DONE'!$I$72</definedName>
    <definedName name="solver_opt" localSheetId="5" hidden="1">'Exh 3-4 TO DO'!$I$72</definedName>
    <definedName name="solver_opt" localSheetId="3" hidden="1">'Exhib 1-2'!$I$74</definedName>
    <definedName name="solver_pre" localSheetId="0" hidden="1">0.000001</definedName>
    <definedName name="solver_pre" localSheetId="2" hidden="1">0.000001</definedName>
    <definedName name="solver_pre" localSheetId="1" hidden="1">0.000001</definedName>
    <definedName name="solver_pre" localSheetId="4" hidden="1">0.000001</definedName>
    <definedName name="solver_pre" localSheetId="5" hidden="1">0.000001</definedName>
    <definedName name="solver_pre" localSheetId="3" hidden="1">0.000001</definedName>
    <definedName name="solver_scl" localSheetId="0" hidden="1">2</definedName>
    <definedName name="solver_scl" localSheetId="2" hidden="1">2</definedName>
    <definedName name="solver_scl" localSheetId="1" hidden="1">2</definedName>
    <definedName name="solver_scl" localSheetId="4" hidden="1">2</definedName>
    <definedName name="solver_scl" localSheetId="5" hidden="1">2</definedName>
    <definedName name="solver_scl" localSheetId="3" hidden="1">2</definedName>
    <definedName name="solver_sho" localSheetId="0" hidden="1">2</definedName>
    <definedName name="solver_sho" localSheetId="2" hidden="1">2</definedName>
    <definedName name="solver_sho" localSheetId="1" hidden="1">2</definedName>
    <definedName name="solver_sho" localSheetId="4" hidden="1">2</definedName>
    <definedName name="solver_sho" localSheetId="5" hidden="1">2</definedName>
    <definedName name="solver_sho" localSheetId="3" hidden="1">2</definedName>
    <definedName name="solver_tim" localSheetId="0" hidden="1">100</definedName>
    <definedName name="solver_tim" localSheetId="2" hidden="1">100</definedName>
    <definedName name="solver_tim" localSheetId="1" hidden="1">100</definedName>
    <definedName name="solver_tim" localSheetId="4" hidden="1">100</definedName>
    <definedName name="solver_tim" localSheetId="5" hidden="1">100</definedName>
    <definedName name="solver_tim" localSheetId="3" hidden="1">100</definedName>
    <definedName name="solver_tol" localSheetId="0" hidden="1">0.05</definedName>
    <definedName name="solver_tol" localSheetId="2" hidden="1">0.05</definedName>
    <definedName name="solver_tol" localSheetId="1" hidden="1">0.05</definedName>
    <definedName name="solver_tol" localSheetId="4" hidden="1">0.05</definedName>
    <definedName name="solver_tol" localSheetId="5" hidden="1">0.05</definedName>
    <definedName name="solver_tol" localSheetId="3" hidden="1">0.05</definedName>
    <definedName name="solver_typ" localSheetId="0" hidden="1">3</definedName>
    <definedName name="solver_typ" localSheetId="2" hidden="1">3</definedName>
    <definedName name="solver_typ" localSheetId="1" hidden="1">3</definedName>
    <definedName name="solver_typ" localSheetId="4" hidden="1">3</definedName>
    <definedName name="solver_typ" localSheetId="5" hidden="1">3</definedName>
    <definedName name="solver_typ" localSheetId="3" hidden="1">3</definedName>
    <definedName name="solver_val" localSheetId="0" hidden="1">0.25</definedName>
    <definedName name="solver_val" localSheetId="2" hidden="1">0.25</definedName>
    <definedName name="solver_val" localSheetId="1" hidden="1">0.25</definedName>
    <definedName name="solver_val" localSheetId="4" hidden="1">0.25</definedName>
    <definedName name="solver_val" localSheetId="5" hidden="1">0.25</definedName>
    <definedName name="solver_val" localSheetId="3" hidden="1">0.25</definedName>
  </definedNames>
  <calcPr fullCalcOnLoad="1"/>
</workbook>
</file>

<file path=xl/comments1.xml><?xml version="1.0" encoding="utf-8"?>
<comments xmlns="http://schemas.openxmlformats.org/spreadsheetml/2006/main">
  <authors>
    <author>EMartinezAbascal</author>
    <author>Masia</author>
  </authors>
  <commentList>
    <comment ref="I74" authorId="0">
      <text>
        <r>
          <rPr>
            <sz val="9"/>
            <rFont val="Tahoma"/>
            <family val="2"/>
          </rPr>
          <t xml:space="preserve">Para el cálculo usa la fórmula del IR o TIR, pero asegúrate que incluyes el flujo del año 0. 
Esta es la TIR del capital invertido de nuestro propio bolsillo (equity). Es la rentabilidad anual que el accionista obtiene del dinero (equity) que ha invertido. 
</t>
        </r>
        <r>
          <rPr>
            <sz val="8"/>
            <rFont val="Tahoma"/>
            <family val="2"/>
          </rPr>
          <t xml:space="preserve">
</t>
        </r>
      </text>
    </comment>
    <comment ref="G74" authorId="0">
      <text>
        <r>
          <rPr>
            <sz val="9"/>
            <rFont val="Tahoma"/>
            <family val="2"/>
          </rPr>
          <t>Usa la fórmula del VAN (VNA o PNV) desde el año 1 al 4. NO uses la del valor presente (VA o PV). 
Este es el "valor" que "para nosotros" tiene este proyecto. Es lo máximo que  deberíamos poner de nuestro propio bolsillo, para obtener una rentabilidad K del 20% a nuestro equity invertido.</t>
        </r>
      </text>
    </comment>
    <comment ref="I64" authorId="0">
      <text>
        <r>
          <rPr>
            <sz val="9"/>
            <rFont val="Tahoma"/>
            <family val="2"/>
          </rPr>
          <t xml:space="preserve">Para el cálculo usa la fórmula del IRR o TIR, pero asegúrate que incluyes el flujo del año 0. 
Esta es la TIR de los activos, o la TIR de toda la inversión  (D+E que aparece en el balance). Es la rentabilidad anual que nos dan los activos (el proyecto), pero antes de impuestos.
</t>
        </r>
      </text>
    </comment>
    <comment ref="G64" authorId="0">
      <text>
        <r>
          <rPr>
            <sz val="9"/>
            <rFont val="Tahoma"/>
            <family val="2"/>
          </rPr>
          <t>Usa la fórmula del VAN (VNA o NPV) desde el año 1 al 4. NO uses la del valor presente (PV). 
Este es el "valor" que "para nosotros" tiene este proyecto. Es lo máximo que  deberíamos pagar (o invertir) para obtener una rentabilidad Ka  a los recursos (D+E) invertidos.</t>
        </r>
      </text>
    </comment>
    <comment ref="G13" authorId="1">
      <text>
        <r>
          <rPr>
            <sz val="8"/>
            <rFont val="Tahoma"/>
            <family val="2"/>
          </rPr>
          <t xml:space="preserve">Dejarlo en blanco hasta haber hecho la previsión e balances. 
</t>
        </r>
      </text>
    </comment>
  </commentList>
</comments>
</file>

<file path=xl/comments2.xml><?xml version="1.0" encoding="utf-8"?>
<comments xmlns="http://schemas.openxmlformats.org/spreadsheetml/2006/main">
  <authors>
    <author>Masia</author>
    <author>EMartinezAbascal</author>
  </authors>
  <commentList>
    <comment ref="E97" authorId="0">
      <text>
        <r>
          <rPr>
            <b/>
            <sz val="9"/>
            <rFont val="Tahoma"/>
            <family val="2"/>
          </rPr>
          <t xml:space="preserve">Abascal:
</t>
        </r>
        <r>
          <rPr>
            <sz val="9"/>
            <rFont val="Tahoma"/>
            <family val="2"/>
          </rPr>
          <t>3% de crecimiento anual de gastos supone una destrucción de valor para el accionista de unos 2-3 mill. 
Por tanto un 1% de bajada de gastos supone unos 1 mill de creación de valor para el accionista.</t>
        </r>
      </text>
    </comment>
    <comment ref="E92" authorId="0">
      <text>
        <r>
          <rPr>
            <b/>
            <sz val="9"/>
            <rFont val="Tahoma"/>
            <family val="2"/>
          </rPr>
          <t>Abascal:</t>
        </r>
        <r>
          <rPr>
            <sz val="9"/>
            <rFont val="Tahoma"/>
            <family val="2"/>
          </rPr>
          <t xml:space="preserve">
Un punto porcentual de caída anual de margen supone una caída de valor para el accionista de unos 18 mill. 
</t>
        </r>
      </text>
    </comment>
    <comment ref="E87" authorId="0">
      <text>
        <r>
          <rPr>
            <b/>
            <sz val="9"/>
            <rFont val="Tahoma"/>
            <family val="2"/>
          </rPr>
          <t>Abascal:</t>
        </r>
        <r>
          <rPr>
            <sz val="9"/>
            <rFont val="Tahoma"/>
            <family val="2"/>
          </rPr>
          <t xml:space="preserve">
3% de crecimiento anual de ventas proporciona una creación de valor para el accionista de unos 10 mill. 
Por tanto un 1% de crecimiento equivale a unos 3,3 mill de creación de valor para el accionista. </t>
        </r>
      </text>
    </comment>
    <comment ref="E82" authorId="0">
      <text>
        <r>
          <rPr>
            <b/>
            <sz val="9"/>
            <rFont val="Tahoma"/>
            <family val="2"/>
          </rPr>
          <t xml:space="preserve">Abascal:
</t>
        </r>
        <r>
          <rPr>
            <sz val="9"/>
            <rFont val="Tahoma"/>
            <family val="2"/>
          </rPr>
          <t xml:space="preserve">100 Mill de ventas suponen unos 50 mill de creación de valor para el accionista. </t>
        </r>
      </text>
    </comment>
    <comment ref="I72" authorId="1">
      <text>
        <r>
          <rPr>
            <sz val="9"/>
            <rFont val="Tahoma"/>
            <family val="2"/>
          </rPr>
          <t xml:space="preserve">Para el cálculo usa la fórmula del IR o TIR, pero asegúrate que incluyes el flujo del año 0. 
Esta es la TIR del capital invertido de nuestro propio bolsillo (equity). Es la rentabilidad anual que el accionista obtiene del dinero (equity) que ha invertido. 
</t>
        </r>
        <r>
          <rPr>
            <sz val="8"/>
            <rFont val="Tahoma"/>
            <family val="2"/>
          </rPr>
          <t xml:space="preserve">
</t>
        </r>
      </text>
    </comment>
    <comment ref="G72" authorId="1">
      <text>
        <r>
          <rPr>
            <sz val="9"/>
            <rFont val="Tahoma"/>
            <family val="2"/>
          </rPr>
          <t>Usa la fórmula del VAN (VNA o PNV) desde el año 1 al 5. NO uses la del valor presente (VA o PV). 
Este es el "valor" que "para nosotros" tiene este proyecto. Es lo máximo que  deberíamos poner de nuestro propio bolsillo, para obtener una rentabilidad K del 20% a nuestro equity invertido.</t>
        </r>
      </text>
    </comment>
    <comment ref="I62" authorId="1">
      <text>
        <r>
          <rPr>
            <sz val="9"/>
            <rFont val="Tahoma"/>
            <family val="2"/>
          </rPr>
          <t xml:space="preserve">Para el cálculo usa la fórmula del IRR o TIR, pero asegúrate que incluyes el flujo del año 0. 
Esta es la TIR de los activos, o la TIR de toda la inversión  (D+E que aparece en el balance). Es la rentabilidad anual que nos dan los activos (el proyecto), pero antes de impuestos.
</t>
        </r>
      </text>
    </comment>
    <comment ref="G62" authorId="1">
      <text>
        <r>
          <rPr>
            <sz val="9"/>
            <rFont val="Tahoma"/>
            <family val="2"/>
          </rPr>
          <t>Usa la fórmula del VAN (VNA o NPV) desde el año 1 al 5. NO uses la del valor presente (PV). 
Este es el "valor" que "para nosotros" tiene este proyecto. Es lo máximo que  deberíamos pagar (o invertir) para obtener una rentabilidad Ka  a los recursos (D+E) invertidos.</t>
        </r>
      </text>
    </comment>
  </commentList>
</comments>
</file>

<file path=xl/comments3.xml><?xml version="1.0" encoding="utf-8"?>
<comments xmlns="http://schemas.openxmlformats.org/spreadsheetml/2006/main">
  <authors>
    <author>EMartinezAbascal</author>
    <author>Masia</author>
  </authors>
  <commentList>
    <comment ref="G62" authorId="0">
      <text>
        <r>
          <rPr>
            <sz val="9"/>
            <rFont val="Tahoma"/>
            <family val="2"/>
          </rPr>
          <t>Usa la fórmula del VAN (VNA o NPV) desde el año 1 al 5. NO uses la del valor presente (PV). 
Este es el "valor" que "para nosotros" tiene este proyecto. Es lo máximo que  deberíamos pagar (o invertir) para obtener una rentabilidad Ka  a los recursos (D+E) invertidos.</t>
        </r>
      </text>
    </comment>
    <comment ref="I62" authorId="0">
      <text>
        <r>
          <rPr>
            <sz val="9"/>
            <rFont val="Tahoma"/>
            <family val="2"/>
          </rPr>
          <t xml:space="preserve">Para el cálculo usa la fórmula del IRR o TIR, pero asegúrate que incluyes el flujo del año 0. 
Esta es la TIR de los activos, o la TIR de toda la inversión  (D+E que aparece en el balance). Es la rentabilidad anual que nos dan los activos (el proyecto), pero antes de impuestos.
</t>
        </r>
      </text>
    </comment>
    <comment ref="G72" authorId="0">
      <text>
        <r>
          <rPr>
            <sz val="9"/>
            <rFont val="Tahoma"/>
            <family val="2"/>
          </rPr>
          <t>Usa la fórmula del VAN (VNA o PNV) desde el año 1 al 5. NO uses la del valor presente (VA o PV). 
Este es el "valor" que "para nosotros" tiene este proyecto. Es lo máximo que  deberíamos poner de nuestro propio bolsillo, para obtener una rentabilidad K del 20% a nuestro equity invertido.</t>
        </r>
      </text>
    </comment>
    <comment ref="I72" authorId="0">
      <text>
        <r>
          <rPr>
            <sz val="9"/>
            <rFont val="Tahoma"/>
            <family val="2"/>
          </rPr>
          <t xml:space="preserve">Para el cálculo usa la fórmula del IR o TIR, pero asegúrate que incluyes el flujo del año 0. 
Esta es la TIR del capital invertido de nuestro propio bolsillo (equity). Es la rentabilidad anual que el accionista obtiene del dinero (equity) que ha invertido. 
</t>
        </r>
        <r>
          <rPr>
            <sz val="8"/>
            <rFont val="Tahoma"/>
            <family val="2"/>
          </rPr>
          <t xml:space="preserve">
</t>
        </r>
      </text>
    </comment>
    <comment ref="E82" authorId="1">
      <text>
        <r>
          <rPr>
            <b/>
            <sz val="9"/>
            <rFont val="Tahoma"/>
            <family val="2"/>
          </rPr>
          <t xml:space="preserve">Abascal:
</t>
        </r>
        <r>
          <rPr>
            <sz val="9"/>
            <rFont val="Tahoma"/>
            <family val="2"/>
          </rPr>
          <t xml:space="preserve">100 Mill de ventas suponen unos 50 mill de creación de valor para el accionista. </t>
        </r>
      </text>
    </comment>
    <comment ref="E87" authorId="1">
      <text>
        <r>
          <rPr>
            <b/>
            <sz val="9"/>
            <rFont val="Tahoma"/>
            <family val="2"/>
          </rPr>
          <t>Abascal:</t>
        </r>
        <r>
          <rPr>
            <sz val="9"/>
            <rFont val="Tahoma"/>
            <family val="2"/>
          </rPr>
          <t xml:space="preserve">
3% de crecimiento anual de ventas proporciona una creación de valor para el accionista de unos 10 mill. 
Por tanto un 1% de crecimiento equivale a unos 3,3 mill de creación de valor para el accionista. </t>
        </r>
      </text>
    </comment>
    <comment ref="E92" authorId="1">
      <text>
        <r>
          <rPr>
            <b/>
            <sz val="9"/>
            <rFont val="Tahoma"/>
            <family val="2"/>
          </rPr>
          <t>Abascal:</t>
        </r>
        <r>
          <rPr>
            <sz val="9"/>
            <rFont val="Tahoma"/>
            <family val="2"/>
          </rPr>
          <t xml:space="preserve">
Un punto porcentual de caída anual de margen supone una caída de valor para el accionista de unos 18 mill. 
</t>
        </r>
      </text>
    </comment>
    <comment ref="E97" authorId="1">
      <text>
        <r>
          <rPr>
            <b/>
            <sz val="9"/>
            <rFont val="Tahoma"/>
            <family val="2"/>
          </rPr>
          <t xml:space="preserve">Abascal:
</t>
        </r>
        <r>
          <rPr>
            <sz val="9"/>
            <rFont val="Tahoma"/>
            <family val="2"/>
          </rPr>
          <t>3% de crecimiento anual de gastos supone una destrucción de valor para el accionista de unos 2-3 mill. 
Por tanto un 1% de bajada de gastos supone unos 1 mill de creación de valor para el accionista.</t>
        </r>
      </text>
    </comment>
  </commentList>
</comments>
</file>

<file path=xl/comments4.xml><?xml version="1.0" encoding="utf-8"?>
<comments xmlns="http://schemas.openxmlformats.org/spreadsheetml/2006/main">
  <authors>
    <author>Masia</author>
    <author>EMartinezAbascal</author>
  </authors>
  <commentList>
    <comment ref="G13" authorId="0">
      <text>
        <r>
          <rPr>
            <sz val="8"/>
            <rFont val="Tahoma"/>
            <family val="2"/>
          </rPr>
          <t xml:space="preserve">Leave it empty until you do the balance sheet forecast.
</t>
        </r>
      </text>
    </comment>
    <comment ref="G74" authorId="1">
      <text>
        <r>
          <rPr>
            <sz val="9"/>
            <rFont val="Tahoma"/>
            <family val="2"/>
          </rPr>
          <t xml:space="preserve">Use the formula  NPV from year 1 to 4. Don't use the present value (PV) formula. 
This number is "the value for me" of the money I invest. It is the maximum we should pay of our own pocket for the project, to obtain a required return Ke to the our funds (E) invested. </t>
        </r>
      </text>
    </comment>
    <comment ref="I74" authorId="1">
      <text>
        <r>
          <rPr>
            <sz val="9"/>
            <rFont val="Tahoma"/>
            <family val="2"/>
          </rPr>
          <t xml:space="preserve">Use the function IRR but make sure you include the initial CF of year 0. 
This is the return you will obtain from the money (Equity) you invested.
</t>
        </r>
        <r>
          <rPr>
            <sz val="8"/>
            <rFont val="Tahoma"/>
            <family val="2"/>
          </rPr>
          <t xml:space="preserve">
</t>
        </r>
      </text>
    </comment>
    <comment ref="G64" authorId="1">
      <text>
        <r>
          <rPr>
            <sz val="9"/>
            <rFont val="Tahoma"/>
            <family val="2"/>
          </rPr>
          <t xml:space="preserve">Use the formula  NPV from year 1 to 4. Don't use the present value (PV) formula. 
This number is "the value for me" of the project. It is the maximum we should pay for the project, to obtain a required return Ka to the total funds (D+E) invested. </t>
        </r>
      </text>
    </comment>
    <comment ref="I64" authorId="1">
      <text>
        <r>
          <rPr>
            <sz val="9"/>
            <rFont val="Tahoma"/>
            <family val="2"/>
          </rPr>
          <t xml:space="preserve">Use the function IRR but make sure you include the initial CF of year 0. 
This is the return, before taxes,  you will obtain from the  assets or, in other words, the return from all the funds (D+E) invested
</t>
        </r>
      </text>
    </comment>
  </commentList>
</comments>
</file>

<file path=xl/comments5.xml><?xml version="1.0" encoding="utf-8"?>
<comments xmlns="http://schemas.openxmlformats.org/spreadsheetml/2006/main">
  <authors>
    <author>Masia</author>
    <author>EMartinezAbascal</author>
  </authors>
  <commentList>
    <comment ref="E97" authorId="0">
      <text>
        <r>
          <rPr>
            <b/>
            <sz val="9"/>
            <rFont val="Tahoma"/>
            <family val="2"/>
          </rPr>
          <t xml:space="preserve">Abascal:
</t>
        </r>
        <r>
          <rPr>
            <sz val="9"/>
            <rFont val="Tahoma"/>
            <family val="2"/>
          </rPr>
          <t>3% of annual increase in Opex produces a decline of value for the shareholder of 2-3 mill.
Therefore, 1% of Opex decline produces around 1 mill of value creation for the shareholder.</t>
        </r>
      </text>
    </comment>
    <comment ref="E92" authorId="0">
      <text>
        <r>
          <rPr>
            <b/>
            <sz val="9"/>
            <rFont val="Tahoma"/>
            <family val="2"/>
          </rPr>
          <t>Abascal:</t>
        </r>
        <r>
          <rPr>
            <sz val="9"/>
            <rFont val="Tahoma"/>
            <family val="2"/>
          </rPr>
          <t xml:space="preserve">
1% decline of margin per year produces a decline of value for the shareholder of 18 mill. 
</t>
        </r>
      </text>
    </comment>
    <comment ref="E87" authorId="0">
      <text>
        <r>
          <rPr>
            <b/>
            <sz val="9"/>
            <rFont val="Tahoma"/>
            <family val="2"/>
          </rPr>
          <t>Abascal:</t>
        </r>
        <r>
          <rPr>
            <sz val="9"/>
            <rFont val="Tahoma"/>
            <family val="2"/>
          </rPr>
          <t xml:space="preserve">
3% of sales growth per year produce 10 mill of value creation for the shareholder. 
Therefore, 1% sales growth is equivalent to 3,3 mill of value creation. </t>
        </r>
      </text>
    </comment>
    <comment ref="E82" authorId="0">
      <text>
        <r>
          <rPr>
            <b/>
            <sz val="9"/>
            <rFont val="Tahoma"/>
            <family val="2"/>
          </rPr>
          <t xml:space="preserve">Abascal:
</t>
        </r>
        <r>
          <rPr>
            <sz val="9"/>
            <rFont val="Tahoma"/>
            <family val="2"/>
          </rPr>
          <t xml:space="preserve">100 Mill of sales produce 50 mill of value creation for the shareholder. </t>
        </r>
      </text>
    </comment>
    <comment ref="I72" authorId="1">
      <text>
        <r>
          <rPr>
            <sz val="9"/>
            <rFont val="Tahoma"/>
            <family val="2"/>
          </rPr>
          <t xml:space="preserve">Use the function IRR but make sure you include the initial CF of year 0. 
This is the return you will obtain from the money (Equity) you invested.
</t>
        </r>
        <r>
          <rPr>
            <sz val="8"/>
            <rFont val="Tahoma"/>
            <family val="2"/>
          </rPr>
          <t xml:space="preserve">
</t>
        </r>
      </text>
    </comment>
    <comment ref="G72" authorId="1">
      <text>
        <r>
          <rPr>
            <sz val="9"/>
            <rFont val="Tahoma"/>
            <family val="2"/>
          </rPr>
          <t xml:space="preserve">Use the formula  NPV from year 1 to 5. Don't use the present value (PV) formula. 
This number is "the value for me" of the money I invest. It is the maximum we should pay of our own pocket for the project, to obtain a required return Ke to the our funds (E) invested. </t>
        </r>
      </text>
    </comment>
    <comment ref="I62" authorId="1">
      <text>
        <r>
          <rPr>
            <sz val="9"/>
            <rFont val="Tahoma"/>
            <family val="2"/>
          </rPr>
          <t xml:space="preserve">Use the function IRR but make sure you include the initial CF of year 0. 
This is the return, before taxes,  you will obtain from the  assets or, in other words, the return from all the funds (D+E) invested
</t>
        </r>
      </text>
    </comment>
    <comment ref="G62" authorId="1">
      <text>
        <r>
          <rPr>
            <sz val="9"/>
            <rFont val="Tahoma"/>
            <family val="2"/>
          </rPr>
          <t xml:space="preserve">Use the formula  NPV from year 1 to 5. Don't use the present value (PV) formula. 
This number is "the value for me" of the project. It is the maximum we should pay for the project, to obtain a required return Ka to the total funds (D+E) invested. </t>
        </r>
      </text>
    </comment>
  </commentList>
</comments>
</file>

<file path=xl/comments6.xml><?xml version="1.0" encoding="utf-8"?>
<comments xmlns="http://schemas.openxmlformats.org/spreadsheetml/2006/main">
  <authors>
    <author>EMartinezAbascal</author>
    <author>Masia</author>
  </authors>
  <commentList>
    <comment ref="G62" authorId="0">
      <text>
        <r>
          <rPr>
            <sz val="9"/>
            <rFont val="Tahoma"/>
            <family val="2"/>
          </rPr>
          <t xml:space="preserve">Use the formula  NPV from year 1 to 5. Don't use the present value (PV) formula. 
This number is "the value for me" of the project. It is the maximum we should pay for the project, to obtain a required return Ka to the total funds (D+E) invested. </t>
        </r>
      </text>
    </comment>
    <comment ref="I62" authorId="0">
      <text>
        <r>
          <rPr>
            <sz val="9"/>
            <rFont val="Tahoma"/>
            <family val="2"/>
          </rPr>
          <t xml:space="preserve">Use the function IRR but make sure you include the initial CF of year 0. 
This is the return, before taxes,  you will obtain from the  assets or, in other words, the return from all the funds (D+E) invested
</t>
        </r>
      </text>
    </comment>
    <comment ref="G72" authorId="0">
      <text>
        <r>
          <rPr>
            <sz val="9"/>
            <rFont val="Tahoma"/>
            <family val="2"/>
          </rPr>
          <t xml:space="preserve">Use the formula  NPV from year 1 to 5. Don't use the present value (PV) formula. 
This number is "the value for me" of the money I invest. It is the maximum we should pay of our own pocket for the project, to obtain a required return Ke to the our funds (E) invested. </t>
        </r>
      </text>
    </comment>
    <comment ref="I72" authorId="0">
      <text>
        <r>
          <rPr>
            <sz val="9"/>
            <rFont val="Tahoma"/>
            <family val="2"/>
          </rPr>
          <t xml:space="preserve">Use the function IRR but make sure you include the initial CF of year 0. 
This is the return you will obtain from the money (Equity) you invested.
</t>
        </r>
        <r>
          <rPr>
            <sz val="8"/>
            <rFont val="Tahoma"/>
            <family val="2"/>
          </rPr>
          <t xml:space="preserve">
</t>
        </r>
      </text>
    </comment>
    <comment ref="E82" authorId="1">
      <text>
        <r>
          <rPr>
            <b/>
            <sz val="9"/>
            <rFont val="Tahoma"/>
            <family val="2"/>
          </rPr>
          <t xml:space="preserve">Abascal:
</t>
        </r>
        <r>
          <rPr>
            <sz val="9"/>
            <rFont val="Tahoma"/>
            <family val="2"/>
          </rPr>
          <t xml:space="preserve">100 Mill of sales produce 50 mill of value creation for the shareholder. </t>
        </r>
      </text>
    </comment>
    <comment ref="E87" authorId="1">
      <text>
        <r>
          <rPr>
            <b/>
            <sz val="9"/>
            <rFont val="Tahoma"/>
            <family val="2"/>
          </rPr>
          <t>Abascal:</t>
        </r>
        <r>
          <rPr>
            <sz val="9"/>
            <rFont val="Tahoma"/>
            <family val="2"/>
          </rPr>
          <t xml:space="preserve">
3% of sales growth per year produce 10 mill of value creation for the shareholder. 
Therefore, 1% sales growth is equivalent to 3,3 mill of value creation. </t>
        </r>
      </text>
    </comment>
    <comment ref="E92" authorId="1">
      <text>
        <r>
          <rPr>
            <b/>
            <sz val="9"/>
            <rFont val="Tahoma"/>
            <family val="2"/>
          </rPr>
          <t>Abascal:</t>
        </r>
        <r>
          <rPr>
            <sz val="9"/>
            <rFont val="Tahoma"/>
            <family val="2"/>
          </rPr>
          <t xml:space="preserve">
1% decline of margin per year produces a decline of value for the shareholder of 18 mill. 
</t>
        </r>
      </text>
    </comment>
    <comment ref="E97" authorId="1">
      <text>
        <r>
          <rPr>
            <b/>
            <sz val="9"/>
            <rFont val="Tahoma"/>
            <family val="2"/>
          </rPr>
          <t xml:space="preserve">Abascal:
</t>
        </r>
        <r>
          <rPr>
            <sz val="9"/>
            <rFont val="Tahoma"/>
            <family val="2"/>
          </rPr>
          <t>3% of annual increase in Opex produces a decline of value for the shareholder of 2-3 mill.
Therefore, 1% of Opex decline produces around 1 mill of value creation for the shareholder.</t>
        </r>
      </text>
    </comment>
  </commentList>
</comments>
</file>

<file path=xl/comments7.xml><?xml version="1.0" encoding="utf-8"?>
<comments xmlns="http://schemas.openxmlformats.org/spreadsheetml/2006/main">
  <authors>
    <author>Masia</author>
  </authors>
  <commentList>
    <comment ref="B28" authorId="0">
      <text>
        <r>
          <rPr>
            <sz val="9"/>
            <rFont val="Tahoma"/>
            <family val="2"/>
          </rPr>
          <t xml:space="preserve">La caja aportada por el accionista es igual a los rec propios menos lo que hay en caja sobrante (de momento). 
</t>
        </r>
      </text>
    </comment>
    <comment ref="C9" authorId="0">
      <text>
        <r>
          <rPr>
            <sz val="9"/>
            <rFont val="Tahoma"/>
            <family val="2"/>
          </rPr>
          <t xml:space="preserve">Interest rate x Debt of prvious year.
</t>
        </r>
      </text>
    </comment>
  </commentList>
</comments>
</file>

<file path=xl/comments8.xml><?xml version="1.0" encoding="utf-8"?>
<comments xmlns="http://schemas.openxmlformats.org/spreadsheetml/2006/main">
  <authors>
    <author>Masia</author>
  </authors>
  <commentList>
    <comment ref="B28" authorId="0">
      <text>
        <r>
          <rPr>
            <sz val="9"/>
            <rFont val="Tahoma"/>
            <family val="2"/>
          </rPr>
          <t xml:space="preserve">La caja aportada por el accionista es igual a los rec propios menos lo que hay en caja sobrante (de momento). 
</t>
        </r>
      </text>
    </comment>
    <comment ref="C9" authorId="0">
      <text>
        <r>
          <rPr>
            <sz val="9"/>
            <rFont val="Tahoma"/>
            <family val="2"/>
          </rPr>
          <t xml:space="preserve">Interest rate x Debt of previous year.
</t>
        </r>
      </text>
    </comment>
  </commentList>
</comments>
</file>

<file path=xl/sharedStrings.xml><?xml version="1.0" encoding="utf-8"?>
<sst xmlns="http://schemas.openxmlformats.org/spreadsheetml/2006/main" count="1157" uniqueCount="341">
  <si>
    <t>Ventas</t>
  </si>
  <si>
    <t>Impuestos</t>
  </si>
  <si>
    <t>NOF</t>
  </si>
  <si>
    <t>Taxes</t>
  </si>
  <si>
    <t>Sales</t>
  </si>
  <si>
    <t>Sales expenses</t>
  </si>
  <si>
    <t>TIR</t>
  </si>
  <si>
    <t>EBITDA</t>
  </si>
  <si>
    <t>IRR</t>
  </si>
  <si>
    <t>VAN</t>
  </si>
  <si>
    <t>nd</t>
  </si>
  <si>
    <t>CMV</t>
  </si>
  <si>
    <t>Amortización</t>
  </si>
  <si>
    <t>P&amp;L</t>
  </si>
  <si>
    <t>Depreciation</t>
  </si>
  <si>
    <t>EBIT</t>
  </si>
  <si>
    <t>Financial expenses</t>
  </si>
  <si>
    <t>EBT</t>
  </si>
  <si>
    <t>NFO</t>
  </si>
  <si>
    <t>Equity</t>
  </si>
  <si>
    <t>FINANCING</t>
  </si>
  <si>
    <t>NPV</t>
  </si>
  <si>
    <t>K</t>
  </si>
  <si>
    <t>PV</t>
  </si>
  <si>
    <t>Periods</t>
  </si>
  <si>
    <t>Cash flows</t>
  </si>
  <si>
    <t>Discount rate</t>
  </si>
  <si>
    <t>0.20$</t>
  </si>
  <si>
    <t>Hipótesis</t>
  </si>
  <si>
    <t>(1)</t>
  </si>
  <si>
    <t>Margen bruto</t>
  </si>
  <si>
    <t>(2)</t>
  </si>
  <si>
    <t>Gastos Generales</t>
  </si>
  <si>
    <t>(3)</t>
  </si>
  <si>
    <t>(4)</t>
  </si>
  <si>
    <t>(5)</t>
  </si>
  <si>
    <t xml:space="preserve">EBIT </t>
  </si>
  <si>
    <t>Gastos financieros, neto</t>
  </si>
  <si>
    <t>(6)</t>
  </si>
  <si>
    <t>BN, Beneficio neto</t>
  </si>
  <si>
    <t>Ratios de Cuenta de Resultados</t>
  </si>
  <si>
    <t>Hipótesis (en negrita y verde)</t>
  </si>
  <si>
    <t>Media</t>
  </si>
  <si>
    <t>Crecimiento de ventas</t>
  </si>
  <si>
    <t>Margen bruto / Ventas</t>
  </si>
  <si>
    <t>EBITDA /Ventas</t>
  </si>
  <si>
    <t>ROS (Beneficio/Ventas)</t>
  </si>
  <si>
    <t>ROE (Beneficio / Equity)</t>
  </si>
  <si>
    <t>(7)</t>
  </si>
  <si>
    <t>AF, activo fijo neto</t>
  </si>
  <si>
    <t>AN, activo neto</t>
  </si>
  <si>
    <t>D  Deuda total</t>
  </si>
  <si>
    <t>E Recursos propios (Equity)</t>
  </si>
  <si>
    <t>Financiación</t>
  </si>
  <si>
    <t>Caja excedente (+)</t>
  </si>
  <si>
    <t>Cash flow anual para accionista</t>
  </si>
  <si>
    <t>Directrices para la previsión de Cta. Rdos y Balances</t>
  </si>
  <si>
    <t xml:space="preserve">(2) </t>
  </si>
  <si>
    <t xml:space="preserve">(3) </t>
  </si>
  <si>
    <t>Caja que tendremos en el balance. La diferencia de caja de un año a otro es el CF accionista.</t>
  </si>
  <si>
    <t>Perpetuity</t>
  </si>
  <si>
    <t>± Variación de AN, activo neto</t>
  </si>
  <si>
    <t>g</t>
  </si>
  <si>
    <t>± Variación de Deuda</t>
  </si>
  <si>
    <t>Benef neto</t>
  </si>
  <si>
    <t>CF accionista</t>
  </si>
  <si>
    <t>TIR =</t>
  </si>
  <si>
    <t xml:space="preserve">VAN = </t>
  </si>
  <si>
    <t>(8)</t>
  </si>
  <si>
    <t>Escenario Peor</t>
  </si>
  <si>
    <t>Escenario Base</t>
  </si>
  <si>
    <t>Escenario Optimo</t>
  </si>
  <si>
    <t>Laptops Previsión</t>
  </si>
  <si>
    <t>Gastos de ventas</t>
  </si>
  <si>
    <t>Desktop</t>
  </si>
  <si>
    <t>ROA (EBIT / Activo neto)</t>
  </si>
  <si>
    <t>Incremento de GG</t>
  </si>
  <si>
    <t>ROE =</t>
  </si>
  <si>
    <t>ROA +</t>
  </si>
  <si>
    <t>D/E x</t>
  </si>
  <si>
    <t>(ROA -</t>
  </si>
  <si>
    <t>Kd)</t>
  </si>
  <si>
    <t>antes de imp</t>
  </si>
  <si>
    <t>desp de impu</t>
  </si>
  <si>
    <t xml:space="preserve">Margen / Ventas (fila 21). Escenario base baja un 1% anual. Optimista 0%, pesimista, bajada anual -2%. </t>
  </si>
  <si>
    <t>Intereses, 10% de la deuda total (corto y largo) del año anterior. Tasa impositiva = 30%.</t>
  </si>
  <si>
    <t>NOF =  20% de Ventas. Asumir inversión nueva = amortización, es decir AF constante. Inversión nueva está en celda C30.</t>
  </si>
  <si>
    <t>Cálculo del FCF o CF activo</t>
  </si>
  <si>
    <t>Ventas. Escenario base 200. Pesimista 150. Optimista 250.</t>
  </si>
  <si>
    <t>+EBIT</t>
  </si>
  <si>
    <t>FCF o CF del activo</t>
  </si>
  <si>
    <t>El año 4, escribimos 0, pues asumimos que liquidamos el proyecto vendiendo los activos a valor contable.</t>
  </si>
  <si>
    <t>Gastos generales (4M€), aumentan con la inflación, 3% por año.  Amortización, cifra constante, asume que son 2M€ por año.</t>
  </si>
  <si>
    <t>FCF desp de impuestos</t>
  </si>
  <si>
    <t>Cálculo del CF accionista</t>
  </si>
  <si>
    <t>+Beneficio neto</t>
  </si>
  <si>
    <t>Cta Rdos (mill €)</t>
  </si>
  <si>
    <t>Proyecto Laptops. Cálculo de CF, Rentabilidad y Riesgos</t>
  </si>
  <si>
    <t>Del balance (fila 31). AN año pasado - AN de este año. Signo negativo significa que invertimos, CF negativo.</t>
  </si>
  <si>
    <t>Del balance (fila 33). Deuda de este año - deuda del año pasado. Signo negativo significa que devolvemos deuda, CF negativo.</t>
  </si>
  <si>
    <t>CF accionista que recibiremos. Las cifras deben coincidir las de la fila 37 (calculadas a partir de la caja en el balance).</t>
  </si>
  <si>
    <t>TIR y nivel de Ventas</t>
  </si>
  <si>
    <t>TIR y crecimiento g</t>
  </si>
  <si>
    <t xml:space="preserve">VA = </t>
  </si>
  <si>
    <t>VA Accionista</t>
  </si>
  <si>
    <t>Directrices para el cálculo de CF y análisis de riesgos</t>
  </si>
  <si>
    <t>Para el accionista</t>
  </si>
  <si>
    <t>VA</t>
  </si>
  <si>
    <t>50% o 10M€</t>
  </si>
  <si>
    <t>25% o 5M€</t>
  </si>
  <si>
    <t>75% o 15M$</t>
  </si>
  <si>
    <t>TIR y VA Accionista</t>
  </si>
  <si>
    <t>Riesgos. Análisis de Sensibilidad</t>
  </si>
  <si>
    <t>Sensibilidad a la Deuda (6)</t>
  </si>
  <si>
    <t>Perpetuity =</t>
  </si>
  <si>
    <t>TIR y caída de margen</t>
  </si>
  <si>
    <t>© E.M. Abascal. Sept 2011</t>
  </si>
  <si>
    <t>Laptops Forecast</t>
  </si>
  <si>
    <t>P &amp; L (mill €)</t>
  </si>
  <si>
    <t>CGS</t>
  </si>
  <si>
    <t>Net Income</t>
  </si>
  <si>
    <t>Gross Margin</t>
  </si>
  <si>
    <t>Net Income NI</t>
  </si>
  <si>
    <t>Ratios of the P&amp;L</t>
  </si>
  <si>
    <t>Hypothesis (in bold and green)</t>
  </si>
  <si>
    <t>Gross margin / Sales</t>
  </si>
  <si>
    <t>Opex or Overhead</t>
  </si>
  <si>
    <t>Increase of Opex</t>
  </si>
  <si>
    <t>EBITDA / Sales</t>
  </si>
  <si>
    <t>ROS (Net Income / Sales)</t>
  </si>
  <si>
    <t>ROE ( NI / Equity)</t>
  </si>
  <si>
    <t>ROA (EBIT / Net assets)</t>
  </si>
  <si>
    <t>Balance  (Mill €)</t>
  </si>
  <si>
    <t>Hypothesis</t>
  </si>
  <si>
    <t>FA, fixed assets net</t>
  </si>
  <si>
    <t>NA, net assets</t>
  </si>
  <si>
    <t>E, Equity</t>
  </si>
  <si>
    <t>D,  Debt</t>
  </si>
  <si>
    <t>Financing</t>
  </si>
  <si>
    <t>Cash surplus (+)</t>
  </si>
  <si>
    <t>Guidelines for the P&amp;L and Balance sheet Forecast</t>
  </si>
  <si>
    <t>All the hypothesis are written in bold and green.</t>
  </si>
  <si>
    <t>Todas las hipótesis en negrita y verde.</t>
  </si>
  <si>
    <t>Crecimiento ventas: 10% escenario base, 15% optimista y  0% pesimista.</t>
  </si>
  <si>
    <t>Interests: 10% of total debt of previous year (long and short term). Tax rate 30%.</t>
  </si>
  <si>
    <t>NFO =  20% of Sales.  FA constant (new investment = depreciation). New investment = 2 (cell C30).</t>
  </si>
  <si>
    <t xml:space="preserve">Equity inicial de 10€ más los beneficios acumulados de cada año. </t>
  </si>
  <si>
    <t xml:space="preserve">Equity:  initial equity of 10 + net income of the year. No dividends paid. </t>
  </si>
  <si>
    <t xml:space="preserve">Laptop Project. CF Calculation. Return and Risks. </t>
  </si>
  <si>
    <t>FCF Calculation</t>
  </si>
  <si>
    <t>± Variation of NA, net assets</t>
  </si>
  <si>
    <t>FCF or CF of the assets</t>
  </si>
  <si>
    <t>FCF after taxes</t>
  </si>
  <si>
    <t xml:space="preserve">PV = </t>
  </si>
  <si>
    <t>IRR =</t>
  </si>
  <si>
    <t xml:space="preserve">NPV = </t>
  </si>
  <si>
    <t>CF shareholder. Calculation</t>
  </si>
  <si>
    <t>± Variation of Debt</t>
  </si>
  <si>
    <t>+ Net Income</t>
  </si>
  <si>
    <t>CF shareholder</t>
  </si>
  <si>
    <t>Risks. Sensitivity Analysis.</t>
  </si>
  <si>
    <t>Análisis Coeteris Paribus (4)</t>
  </si>
  <si>
    <t>Coeteris Paribus Analysis (4)</t>
  </si>
  <si>
    <t>IRR and size of Sales</t>
  </si>
  <si>
    <t>IRR shareholder</t>
  </si>
  <si>
    <t>PV shareholder</t>
  </si>
  <si>
    <t>IRR and margin decline</t>
  </si>
  <si>
    <t>For the shareholder</t>
  </si>
  <si>
    <t>Worst case (5)</t>
  </si>
  <si>
    <t>Sensitivity to Debt (6)</t>
  </si>
  <si>
    <t>From the balance sheet (row 33).Debt last year - Debt this year. Negative sign means we pay debt back.  Negative CF.</t>
  </si>
  <si>
    <t xml:space="preserve">de 50 mill aumenta el valor para el accionista en 10 mill. Mismo análisis para crecimiento vtas: 10 puntos de crecimiento equivalen </t>
  </si>
  <si>
    <t xml:space="preserve">a 5 millones de valor. Mismo análisis para caída del margen: 1 punto de caída anual de margen equivale a 5 millones de valor. </t>
  </si>
  <si>
    <t xml:space="preserve">Same analysis for margin decline: 1 point of decline is equivalent to 5 million of value. </t>
  </si>
  <si>
    <t>Average</t>
  </si>
  <si>
    <t>Sales growth</t>
  </si>
  <si>
    <t>na</t>
  </si>
  <si>
    <t>Cash flow for the shareholder</t>
  </si>
  <si>
    <t>Sales. Base scenario 200. Pessimistic 150. Optimistic 250.</t>
  </si>
  <si>
    <t>Sales growth: 10% base scenario, 0% pessimistic, 15% optimistic.</t>
  </si>
  <si>
    <t>Gross margin / Sales. Base scenario, 1% decrease per year; Pessimistic -2%; Optimistic 0%.</t>
  </si>
  <si>
    <t>Opex (4M€), increase with inflation of 3%. Depreciation, constant figure,  2M€ per year.</t>
  </si>
  <si>
    <t>Debt: closing figure to balance the balance sheet = net assets minus equity. We intend to pay the debt asap.</t>
  </si>
  <si>
    <t>IRR and sales growth g</t>
  </si>
  <si>
    <t>IRR and  NPV shareholder</t>
  </si>
  <si>
    <t>Guidelines for the  Calculation of CF and Risks Analysis</t>
  </si>
  <si>
    <t>From the balance sheet (row 31). Net asset last year - NA this year. Negative sign means investment or negative CF.</t>
  </si>
  <si>
    <t>CF the shareholder will receive. The numbers must coincide with those of row 37, calculated from the cash in the balance sheet.</t>
  </si>
  <si>
    <t>We calculate the PV and IRR when size of sales changes and the other variable remain constant. Result: an increase of sales</t>
  </si>
  <si>
    <t xml:space="preserve">of 50 mill increase the value for the shareholder in 10 mill. Same analysis for sales growth: 10 points of g, produce 5 million of value. </t>
  </si>
  <si>
    <t>Worst Case</t>
  </si>
  <si>
    <t>Base Case</t>
  </si>
  <si>
    <t>Best Case</t>
  </si>
  <si>
    <t>Proyecto Laptops. Previsión de Cta. Rdos y Balance</t>
  </si>
  <si>
    <t>Deuda. Cifra de cierre para cuadrar el balance = Activo neto - Rec. Propios. El objetivo es pagar la deuda lo antes posible.</t>
  </si>
  <si>
    <t>Calcular VA y TIR cuando cambian las ventas, y permanecen constantes las otras variables. Resultado: un incremento de ventas</t>
  </si>
  <si>
    <t>Ka  =</t>
  </si>
  <si>
    <t>FCF. VA con</t>
  </si>
  <si>
    <t>Ke  =</t>
  </si>
  <si>
    <t>FCF. PV with</t>
  </si>
  <si>
    <t>FCF after taxes with</t>
  </si>
  <si>
    <t>TIR y VAN Accionista</t>
  </si>
  <si>
    <t>TIR del FCF (Activo)</t>
  </si>
  <si>
    <t>VA del FCF (Activo)</t>
  </si>
  <si>
    <t>TIR Accionista</t>
  </si>
  <si>
    <t>IRR of FCF (Assets)</t>
  </si>
  <si>
    <t>PV of FCF (Assets)</t>
  </si>
  <si>
    <t>IRR Shareholder</t>
  </si>
  <si>
    <t>PV Shareholder</t>
  </si>
  <si>
    <t>Laptop Project. P&amp;L and Balance sheet Forecast</t>
  </si>
  <si>
    <t>In year 4 we write 0, because we assume that we sell the assets at book value.</t>
  </si>
  <si>
    <t xml:space="preserve">Cash we will have in the balance sheet. The increase of cash from one year to the other is the cash flow for the shareholder. </t>
  </si>
  <si>
    <t>CF accionista, VA con</t>
  </si>
  <si>
    <t>CF shareholder, PV with</t>
  </si>
  <si>
    <t>75% or 15M$</t>
  </si>
  <si>
    <t>50% or 10M€</t>
  </si>
  <si>
    <t>25% or 5M€</t>
  </si>
  <si>
    <t xml:space="preserve">TIR y VA del accionista (no del FCF) si todo va mal o si todo va bien. </t>
  </si>
  <si>
    <t>TIR y VAN del accionista (no del FCF) si  invertimos, 5, 10 o 15 millones de recursos propios o equity.</t>
  </si>
  <si>
    <t xml:space="preserve">IRR and PV of the shareholder (not of the FCF) if everything goes very well, very bad or according to the base scenario. </t>
  </si>
  <si>
    <t xml:space="preserve">IRR and NPV of the CF shareholder if we invest 5, 10 or 15 million of equity (the rest is Debt). </t>
  </si>
  <si>
    <t>TIR y VAN del accionista (no del FCF) si  invertimos, 50, 100 o 150 de recursos propios o equity.</t>
  </si>
  <si>
    <t xml:space="preserve">TIR y VA  del accionista (no del FCF) si todo va muy mal, normal o muy bien. </t>
  </si>
  <si>
    <t xml:space="preserve">Mismo análisis para caída del margen y para crecimiento de gastos. </t>
  </si>
  <si>
    <t xml:space="preserve">Calcular VA y TIR cuando cambian las ventas, y permanecen constantes las otras variables. Mismo análisis para crecimiento g de ventas. </t>
  </si>
  <si>
    <t>CF accionista que recibiremos. Las cifras deben coincidir las de la fila 35 (calculadas a partir de la caja en el balance).</t>
  </si>
  <si>
    <t>Del balance (fila 31). Deuda de este año - deuda del año pasado. Signo negativo significa que devolvemos deuda, CF negativo.</t>
  </si>
  <si>
    <t>Del balance (fila 29). AN año pasado - AN de este año. Signo negativo significa que invertimos, CF negativo.</t>
  </si>
  <si>
    <t>Crecimiento de Opex</t>
  </si>
  <si>
    <t>25% o 50M€</t>
  </si>
  <si>
    <t>50% o 100M€</t>
  </si>
  <si>
    <t>75% o 150M€</t>
  </si>
  <si>
    <t>Caída de margen</t>
  </si>
  <si>
    <t>Crecimiento Ventas g</t>
  </si>
  <si>
    <t>Escenario Pésimo-Optimo (5)</t>
  </si>
  <si>
    <t>Nivel de Ventas</t>
  </si>
  <si>
    <t xml:space="preserve">Equity inicial de 50 más los beneficios acumulados de cada año. No se pagan dividendos. </t>
  </si>
  <si>
    <t>Deuda: 150 cada año, se paga al final del año 5.</t>
  </si>
  <si>
    <t>El año 5, escribimos 0, pues asumimos que liquidamos el proyecto vendiendo los activos a valor contable.</t>
  </si>
  <si>
    <t>NOF =  20% de Ventas. Asumir inversión nueva = 0. Pero esto lo puedes cambiar si quieres (celda C28).</t>
  </si>
  <si>
    <t>Intereses, 5% de la deuda total (corto y largo) del año anterior. Tasa impositiva = 30%.</t>
  </si>
  <si>
    <t>Gastos generales: escenario base aumentan 3% anual; escenario pesimista 6%; optimista 0%. Amortización, cifra constante, 40 por año.</t>
  </si>
  <si>
    <t>Margen / Ventas . Escenario base baja un punto anual.  Pesimista 2 puntos. Optimista 0 puntos.</t>
  </si>
  <si>
    <t>Crecimiento ventas: 3% escenario base,  0% pesimista y 6% optimista.</t>
  </si>
  <si>
    <t>Ventas. Escenario base 400. Pesimista 300. Optimista 500.</t>
  </si>
  <si>
    <t>Caja excedente (+) o crédito necesario (-)</t>
  </si>
  <si>
    <t>E, Recursos propios (Equity)</t>
  </si>
  <si>
    <t>D,  Deuda total</t>
  </si>
  <si>
    <t>Proyecto DEC. Previsión de Cta. Rdos y Balance</t>
  </si>
  <si>
    <t xml:space="preserve">IRR and NPV of the CF shareholder if we invest 50, 100 or 150 million of equity (the rest is Debt). </t>
  </si>
  <si>
    <t>Do the same analysis for sales growth, margin decline and increase of Opex.</t>
  </si>
  <si>
    <t xml:space="preserve">We calculate the PV and IRR when size of sales changes and the other variable remain constant. </t>
  </si>
  <si>
    <t>CF the shareholder will receive. The numbers must coincide with those of row 35, calculated from the cash in the balance sheet.</t>
  </si>
  <si>
    <t>From the balance sheet (row 31).Debt last year - Debt this year. Negative sign means we pay debt back.  Negative CF.</t>
  </si>
  <si>
    <t>From the balance sheet (row 29). Net asset last year - NA this year. Negative sign means investment or negative CF.</t>
  </si>
  <si>
    <t>25% or 50M€</t>
  </si>
  <si>
    <t>50% or 100M€</t>
  </si>
  <si>
    <t>75% or 150M€</t>
  </si>
  <si>
    <t>Margin decline</t>
  </si>
  <si>
    <t>Worst and Best case (5)</t>
  </si>
  <si>
    <t>Level of Sales</t>
  </si>
  <si>
    <t>PV with  K of</t>
  </si>
  <si>
    <t>FCF. PV with  K of</t>
  </si>
  <si>
    <t xml:space="preserve">DEC Project. CF Calculation. Return and Risks. </t>
  </si>
  <si>
    <t xml:space="preserve">Equity:  initial equity of 50 + net income of the year. No dividends paid. </t>
  </si>
  <si>
    <t xml:space="preserve">Debt: 150 every year. Paid back in full at the end of year 5. </t>
  </si>
  <si>
    <t>In year 5 we write 0, because we assume that we sell the assets at book value.</t>
  </si>
  <si>
    <t>NFO =  20% of Sales.  New investment in FA = 0 (you may change this in cell C28).</t>
  </si>
  <si>
    <t>Interests: 5% of total debt of previous year (long and short term). Tax rate 30%.</t>
  </si>
  <si>
    <t>Sales growth: 3% base scenario, 0% pessimistic, 6% optimistic.</t>
  </si>
  <si>
    <t>Sales. Base scenario 400. Pessimistic 300. Optimistic 500.</t>
  </si>
  <si>
    <t>Cash surplus (+) or credit needed (-)</t>
  </si>
  <si>
    <t>DEC Project. P&amp;L and Balance sheet Forecast</t>
  </si>
  <si>
    <t>Gastos Generales (Opex)</t>
  </si>
  <si>
    <t>© E.M. Abascal. Sept. 2011</t>
  </si>
  <si>
    <t>Opex: increase  3% per year in the base scenario; 6% in the pessimistic and 0% in the optimistic. Depreciation, constant  40 per year.</t>
  </si>
  <si>
    <t>Growth of Sales</t>
  </si>
  <si>
    <t>TIR del Activo después de impuestos</t>
  </si>
  <si>
    <t>VAN accionista</t>
  </si>
  <si>
    <t>TIR del Activo</t>
  </si>
  <si>
    <t>VA accionista</t>
  </si>
  <si>
    <t>TIR del Accionista</t>
  </si>
  <si>
    <t>Rentabilidad requerida por el accionista K =</t>
  </si>
  <si>
    <t>± Variación AN</t>
  </si>
  <si>
    <t>EBIT x (1 - t)</t>
  </si>
  <si>
    <t>FCF o CF activo</t>
  </si>
  <si>
    <t>± Variación de NOF</t>
  </si>
  <si>
    <t xml:space="preserve"> - Capex</t>
  </si>
  <si>
    <t>+ Amortización</t>
  </si>
  <si>
    <t>± Variación Deuda</t>
  </si>
  <si>
    <t>Beneficio neto</t>
  </si>
  <si>
    <t>Suma de CF</t>
  </si>
  <si>
    <t>CF accionista y CF activo</t>
  </si>
  <si>
    <t>Incremento de Caja</t>
  </si>
  <si>
    <t>Caja  (+) o crédito necesario (-)</t>
  </si>
  <si>
    <t>FINANCIACIÓN</t>
  </si>
  <si>
    <t>Rec Propios</t>
  </si>
  <si>
    <t>RP, Rec. Propios</t>
  </si>
  <si>
    <t>Deuda</t>
  </si>
  <si>
    <t>D, Deuda</t>
  </si>
  <si>
    <t>WxK</t>
  </si>
  <si>
    <t>W</t>
  </si>
  <si>
    <t xml:space="preserve">Promedio </t>
  </si>
  <si>
    <t>AN,  ACTIVO NETO</t>
  </si>
  <si>
    <t>AF, Activo fijo neto</t>
  </si>
  <si>
    <t>Balance corto</t>
  </si>
  <si>
    <t>ROE (Benef / rec propios)</t>
  </si>
  <si>
    <t>ROA (Ebit / Activo neto)</t>
  </si>
  <si>
    <t>Nuevas inversiones en AF</t>
  </si>
  <si>
    <t>Impuestos (30%)</t>
  </si>
  <si>
    <t xml:space="preserve">BAT benef ant imp. </t>
  </si>
  <si>
    <t>Intereses (5%)</t>
  </si>
  <si>
    <t>Gastos generales</t>
  </si>
  <si>
    <t>Cta Rdos abreviada</t>
  </si>
  <si>
    <t>IRR of the assets, but after taxes</t>
  </si>
  <si>
    <t>NPV shareholder</t>
  </si>
  <si>
    <t>IRR of the assets</t>
  </si>
  <si>
    <t>Requiered return by the shareholder K =</t>
  </si>
  <si>
    <t>FCF arter taxes</t>
  </si>
  <si>
    <t>± Variation NA</t>
  </si>
  <si>
    <t>FCF o CF of the assets</t>
  </si>
  <si>
    <t>Sum of CF</t>
  </si>
  <si>
    <t>CF shareholder and FCF</t>
  </si>
  <si>
    <t>Increase of Cash</t>
  </si>
  <si>
    <t>Cash  (+) or credit necessary (-)</t>
  </si>
  <si>
    <t>Debt</t>
  </si>
  <si>
    <t>D, Debt</t>
  </si>
  <si>
    <t>NA, NET ASSETS</t>
  </si>
  <si>
    <t>FA, Fixed assets net</t>
  </si>
  <si>
    <t>Short Balance sheet</t>
  </si>
  <si>
    <t>ROE (Net income / equity)</t>
  </si>
  <si>
    <t>ROA (Ebit / Net assets)</t>
  </si>
  <si>
    <t>New investments in FA</t>
  </si>
  <si>
    <t>Taxes (30%)</t>
  </si>
  <si>
    <t>Fin expenses (5%)</t>
  </si>
  <si>
    <t>Opex</t>
  </si>
  <si>
    <t xml:space="preserve">EDITARLO EN EXCEL PERO NO PONERLO EN PRINTED COPY EN EL LIBRO. </t>
  </si>
  <si>
    <t>FALTA EL TEXTO Y SPELLING Y MISMO FORMATIO QUE ANEXOS 1 A 4</t>
  </si>
  <si>
    <t>DONE</t>
  </si>
  <si>
    <t xml:space="preserve"> TO DO</t>
  </si>
  <si>
    <t>HACER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</si>
</sst>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Red]\(&quot;$&quot;#,##0\)"/>
    <numFmt numFmtId="173" formatCode="&quot;$&quot;#,##0.00_);[Red]\(&quot;$&quot;#,##0.00\)"/>
    <numFmt numFmtId="174" formatCode="0.0%"/>
    <numFmt numFmtId="175" formatCode="0.0"/>
    <numFmt numFmtId="176" formatCode="#,##0.0"/>
    <numFmt numFmtId="177" formatCode="#,##0.000"/>
    <numFmt numFmtId="178" formatCode="#,##0_ ;[Red]\-#,##0\ "/>
    <numFmt numFmtId="179" formatCode="#,##0&quot; €&quot;;[Red]\-#,##0&quot; €&quot;"/>
  </numFmts>
  <fonts count="45">
    <font>
      <sz val="9"/>
      <name val="Geneva"/>
      <family val="0"/>
    </font>
    <font>
      <b/>
      <sz val="9"/>
      <name val="Geneva"/>
      <family val="0"/>
    </font>
    <font>
      <i/>
      <sz val="9"/>
      <name val="Geneva"/>
      <family val="0"/>
    </font>
    <font>
      <b/>
      <i/>
      <sz val="9"/>
      <name val="Geneva"/>
      <family val="0"/>
    </font>
    <font>
      <sz val="10"/>
      <name val="Geneva"/>
      <family val="2"/>
    </font>
    <font>
      <b/>
      <sz val="8"/>
      <name val="Arial"/>
      <family val="2"/>
    </font>
    <font>
      <sz val="8"/>
      <name val="Arial"/>
      <family val="2"/>
    </font>
    <font>
      <u val="single"/>
      <sz val="9"/>
      <color indexed="12"/>
      <name val="Geneva"/>
      <family val="2"/>
    </font>
    <font>
      <u val="single"/>
      <sz val="9"/>
      <color indexed="36"/>
      <name val="Geneva"/>
      <family val="2"/>
    </font>
    <font>
      <sz val="9"/>
      <name val="Arial"/>
      <family val="2"/>
    </font>
    <font>
      <b/>
      <sz val="9"/>
      <name val="Arial"/>
      <family val="2"/>
    </font>
    <font>
      <sz val="10"/>
      <name val="Arial"/>
      <family val="2"/>
    </font>
    <font>
      <b/>
      <sz val="12"/>
      <name val="Arial"/>
      <family val="2"/>
    </font>
    <font>
      <b/>
      <i/>
      <sz val="10"/>
      <name val="Arial"/>
      <family val="2"/>
    </font>
    <font>
      <b/>
      <sz val="10"/>
      <name val="Arial"/>
      <family val="2"/>
    </font>
    <font>
      <b/>
      <u val="single"/>
      <sz val="9"/>
      <name val="Arial"/>
      <family val="2"/>
    </font>
    <font>
      <b/>
      <i/>
      <sz val="9"/>
      <name val="Arial"/>
      <family val="2"/>
    </font>
    <font>
      <i/>
      <sz val="9"/>
      <name val="Arial"/>
      <family val="2"/>
    </font>
    <font>
      <i/>
      <sz val="8"/>
      <name val="Arial"/>
      <family val="2"/>
    </font>
    <font>
      <b/>
      <u val="single"/>
      <sz val="8"/>
      <name val="Arial"/>
      <family val="2"/>
    </font>
    <font>
      <sz val="7"/>
      <name val="Arial"/>
      <family val="2"/>
    </font>
    <font>
      <sz val="8"/>
      <name val="Tahoma"/>
      <family val="2"/>
    </font>
    <font>
      <sz val="9"/>
      <name val="Tahoma"/>
      <family val="2"/>
    </font>
    <font>
      <b/>
      <sz val="14"/>
      <name val="Arial"/>
      <family val="2"/>
    </font>
    <font>
      <b/>
      <sz val="9"/>
      <name val="Tahoma"/>
      <family val="2"/>
    </font>
    <font>
      <sz val="9"/>
      <name val="Calibri"/>
      <family val="2"/>
    </font>
    <font>
      <i/>
      <u val="single"/>
      <sz val="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Geneva"/>
      <family val="0"/>
    </font>
    <font>
      <b/>
      <sz val="8"/>
      <name val="Geneva"/>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color indexed="8"/>
      </bottom>
    </border>
    <border>
      <left>
        <color indexed="63"/>
      </left>
      <right>
        <color indexed="63"/>
      </right>
      <top>
        <color indexed="63"/>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9" fillId="6" borderId="0" applyNumberFormat="0" applyBorder="0" applyAlignment="0" applyProtection="0"/>
    <xf numFmtId="0" fontId="30" fillId="11" borderId="1" applyNumberFormat="0" applyAlignment="0" applyProtection="0"/>
    <xf numFmtId="0" fontId="31" fillId="12" borderId="2" applyNumberFormat="0" applyAlignment="0" applyProtection="0"/>
    <xf numFmtId="0" fontId="32" fillId="0" borderId="3" applyNumberFormat="0" applyFill="0" applyAlignment="0" applyProtection="0"/>
    <xf numFmtId="4" fontId="4" fillId="0" borderId="0" applyFont="0" applyFill="0" applyBorder="0" applyAlignment="0" applyProtection="0"/>
    <xf numFmtId="173" fontId="4" fillId="0" borderId="0" applyFont="0" applyFill="0" applyBorder="0" applyAlignment="0" applyProtection="0"/>
    <xf numFmtId="0" fontId="33" fillId="0" borderId="0" applyNumberFormat="0" applyFill="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34" fillId="7" borderId="1"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5" fillId="17" borderId="0" applyNumberFormat="0" applyBorder="0" applyAlignment="0" applyProtection="0"/>
    <xf numFmtId="0" fontId="36" fillId="7" borderId="0" applyNumberFormat="0" applyBorder="0" applyAlignment="0" applyProtection="0"/>
    <xf numFmtId="0" fontId="11" fillId="0" borderId="0">
      <alignment/>
      <protection/>
    </xf>
    <xf numFmtId="0" fontId="0" fillId="4" borderId="4" applyNumberFormat="0" applyFont="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1" fillId="0" borderId="0" applyFill="0" applyBorder="0" applyAlignment="0" applyProtection="0"/>
    <xf numFmtId="0" fontId="37" fillId="11" borderId="5" applyNumberFormat="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41">
    <xf numFmtId="0" fontId="0" fillId="0" borderId="0" xfId="0" applyAlignment="1">
      <alignment/>
    </xf>
    <xf numFmtId="0" fontId="0" fillId="0" borderId="0" xfId="0" applyAlignment="1">
      <alignment horizontal="center"/>
    </xf>
    <xf numFmtId="9" fontId="0" fillId="0" borderId="0" xfId="0" applyNumberFormat="1" applyAlignment="1">
      <alignment horizontal="center"/>
    </xf>
    <xf numFmtId="0" fontId="6" fillId="11" borderId="0" xfId="51" applyFont="1" applyFill="1">
      <alignment/>
      <protection/>
    </xf>
    <xf numFmtId="0" fontId="6" fillId="11" borderId="0" xfId="51" applyFont="1" applyFill="1" applyAlignment="1">
      <alignment horizontal="right"/>
      <protection/>
    </xf>
    <xf numFmtId="3" fontId="12" fillId="0" borderId="0" xfId="51" applyNumberFormat="1" applyFont="1" applyAlignment="1">
      <alignment horizontal="center"/>
      <protection/>
    </xf>
    <xf numFmtId="0" fontId="5" fillId="11" borderId="0" xfId="51" applyFont="1" applyFill="1" applyAlignment="1">
      <alignment horizontal="center"/>
      <protection/>
    </xf>
    <xf numFmtId="9" fontId="6" fillId="11" borderId="0" xfId="51" applyNumberFormat="1" applyFont="1" applyFill="1">
      <alignment/>
      <protection/>
    </xf>
    <xf numFmtId="0" fontId="5" fillId="0" borderId="0" xfId="51" applyFont="1" applyAlignment="1">
      <alignment horizontal="center"/>
      <protection/>
    </xf>
    <xf numFmtId="0" fontId="6" fillId="0" borderId="0" xfId="51" applyFont="1" applyAlignment="1">
      <alignment horizontal="right"/>
      <protection/>
    </xf>
    <xf numFmtId="0" fontId="6" fillId="0" borderId="0" xfId="51" applyFont="1" applyAlignment="1">
      <alignment horizontal="center"/>
      <protection/>
    </xf>
    <xf numFmtId="0" fontId="13" fillId="0" borderId="0" xfId="51" applyFont="1" applyAlignment="1">
      <alignment horizontal="center"/>
      <protection/>
    </xf>
    <xf numFmtId="0" fontId="15" fillId="0" borderId="0" xfId="51" applyFont="1" applyFill="1" applyBorder="1" applyAlignment="1">
      <alignment horizontal="right"/>
      <protection/>
    </xf>
    <xf numFmtId="0" fontId="5" fillId="0" borderId="0" xfId="51" applyFont="1" applyFill="1" applyBorder="1" applyAlignment="1">
      <alignment horizontal="right"/>
      <protection/>
    </xf>
    <xf numFmtId="0" fontId="6" fillId="11" borderId="0" xfId="51" applyFont="1" applyFill="1" applyBorder="1">
      <alignment/>
      <protection/>
    </xf>
    <xf numFmtId="0" fontId="10" fillId="0" borderId="0" xfId="51" applyFont="1">
      <alignment/>
      <protection/>
    </xf>
    <xf numFmtId="3" fontId="10" fillId="0" borderId="0" xfId="51" applyNumberFormat="1" applyFont="1" applyAlignment="1">
      <alignment horizontal="center"/>
      <protection/>
    </xf>
    <xf numFmtId="3" fontId="10" fillId="0" borderId="0" xfId="51" applyNumberFormat="1" applyFont="1" applyBorder="1" applyAlignment="1" quotePrefix="1">
      <alignment horizontal="center"/>
      <protection/>
    </xf>
    <xf numFmtId="3" fontId="9" fillId="0" borderId="0" xfId="51" applyNumberFormat="1" applyFont="1" applyAlignment="1">
      <alignment horizontal="right"/>
      <protection/>
    </xf>
    <xf numFmtId="3" fontId="9" fillId="0" borderId="0" xfId="51" applyNumberFormat="1" applyFont="1" applyFill="1" applyBorder="1" applyAlignment="1">
      <alignment horizontal="right"/>
      <protection/>
    </xf>
    <xf numFmtId="3" fontId="5" fillId="11" borderId="0" xfId="51" applyNumberFormat="1" applyFont="1" applyFill="1" applyBorder="1">
      <alignment/>
      <protection/>
    </xf>
    <xf numFmtId="0" fontId="5" fillId="0" borderId="0" xfId="51" applyFont="1" applyBorder="1">
      <alignment/>
      <protection/>
    </xf>
    <xf numFmtId="3" fontId="6" fillId="0" borderId="0" xfId="51" applyNumberFormat="1" applyFont="1" applyBorder="1" applyAlignment="1">
      <alignment horizontal="right"/>
      <protection/>
    </xf>
    <xf numFmtId="0" fontId="9" fillId="0" borderId="0" xfId="51" applyFont="1">
      <alignment/>
      <protection/>
    </xf>
    <xf numFmtId="9" fontId="10" fillId="0" borderId="0" xfId="54" applyFont="1" applyAlignment="1">
      <alignment horizontal="center"/>
    </xf>
    <xf numFmtId="3" fontId="9" fillId="0" borderId="10" xfId="54" applyNumberFormat="1" applyFont="1" applyBorder="1" applyAlignment="1">
      <alignment horizontal="right"/>
    </xf>
    <xf numFmtId="3" fontId="9" fillId="0" borderId="0" xfId="54" applyNumberFormat="1" applyFont="1" applyFill="1" applyBorder="1" applyAlignment="1">
      <alignment horizontal="right"/>
    </xf>
    <xf numFmtId="0" fontId="6" fillId="0" borderId="0" xfId="51" applyFont="1" applyBorder="1">
      <alignment/>
      <protection/>
    </xf>
    <xf numFmtId="0" fontId="5" fillId="11" borderId="0" xfId="51" applyFont="1" applyFill="1" applyBorder="1">
      <alignment/>
      <protection/>
    </xf>
    <xf numFmtId="9" fontId="6" fillId="11" borderId="0" xfId="51" applyNumberFormat="1" applyFont="1" applyFill="1" applyBorder="1">
      <alignment/>
      <protection/>
    </xf>
    <xf numFmtId="3" fontId="9" fillId="0" borderId="10" xfId="54" applyNumberFormat="1" applyFont="1" applyFill="1" applyBorder="1" applyAlignment="1">
      <alignment horizontal="right"/>
    </xf>
    <xf numFmtId="0" fontId="5" fillId="11" borderId="10" xfId="51" applyFont="1" applyFill="1" applyBorder="1">
      <alignment/>
      <protection/>
    </xf>
    <xf numFmtId="3" fontId="6" fillId="11" borderId="0" xfId="51" applyNumberFormat="1" applyFont="1" applyFill="1" applyBorder="1">
      <alignment/>
      <protection/>
    </xf>
    <xf numFmtId="3" fontId="9" fillId="0" borderId="0" xfId="51" applyNumberFormat="1" applyFont="1" applyAlignment="1">
      <alignment horizontal="center"/>
      <protection/>
    </xf>
    <xf numFmtId="3" fontId="9" fillId="0" borderId="0" xfId="54" applyNumberFormat="1" applyFont="1" applyBorder="1" applyAlignment="1">
      <alignment horizontal="right"/>
    </xf>
    <xf numFmtId="3" fontId="6" fillId="11" borderId="0" xfId="51" applyNumberFormat="1" applyFont="1" applyFill="1">
      <alignment/>
      <protection/>
    </xf>
    <xf numFmtId="3" fontId="6" fillId="0" borderId="0" xfId="54" applyNumberFormat="1" applyFont="1" applyBorder="1" applyAlignment="1">
      <alignment horizontal="right"/>
    </xf>
    <xf numFmtId="3" fontId="9" fillId="0" borderId="0" xfId="51" applyNumberFormat="1" applyFont="1" applyBorder="1" applyAlignment="1">
      <alignment/>
      <protection/>
    </xf>
    <xf numFmtId="3" fontId="9" fillId="0" borderId="0" xfId="51" applyNumberFormat="1" applyFont="1" applyBorder="1" applyAlignment="1">
      <alignment horizontal="right"/>
      <protection/>
    </xf>
    <xf numFmtId="0" fontId="9" fillId="0" borderId="0" xfId="51" applyFont="1" applyAlignment="1">
      <alignment horizontal="left"/>
      <protection/>
    </xf>
    <xf numFmtId="3" fontId="6" fillId="11" borderId="0" xfId="51" applyNumberFormat="1" applyFont="1" applyFill="1" applyBorder="1" applyAlignment="1">
      <alignment horizontal="right"/>
      <protection/>
    </xf>
    <xf numFmtId="0" fontId="6" fillId="11" borderId="0" xfId="51" applyFont="1" applyFill="1" applyBorder="1" applyAlignment="1">
      <alignment horizontal="right"/>
      <protection/>
    </xf>
    <xf numFmtId="0" fontId="9" fillId="11" borderId="0" xfId="51" applyFont="1" applyFill="1" applyBorder="1">
      <alignment/>
      <protection/>
    </xf>
    <xf numFmtId="0" fontId="6" fillId="0" borderId="0" xfId="51" applyFont="1" applyBorder="1" applyAlignment="1">
      <alignment horizontal="left"/>
      <protection/>
    </xf>
    <xf numFmtId="3" fontId="9" fillId="0" borderId="0" xfId="54" applyNumberFormat="1" applyFont="1" applyAlignment="1">
      <alignment horizontal="right"/>
    </xf>
    <xf numFmtId="176" fontId="6" fillId="11" borderId="0" xfId="51" applyNumberFormat="1" applyFont="1" applyFill="1" applyBorder="1" applyAlignment="1">
      <alignment horizontal="right"/>
      <protection/>
    </xf>
    <xf numFmtId="3" fontId="9" fillId="0" borderId="0" xfId="54" applyNumberFormat="1" applyFont="1" applyAlignment="1">
      <alignment/>
    </xf>
    <xf numFmtId="0" fontId="9" fillId="0" borderId="0" xfId="51" applyFont="1" applyBorder="1" applyAlignment="1">
      <alignment horizontal="right"/>
      <protection/>
    </xf>
    <xf numFmtId="174" fontId="9" fillId="0" borderId="10" xfId="54" applyNumberFormat="1" applyFont="1" applyBorder="1" applyAlignment="1">
      <alignment horizontal="right"/>
    </xf>
    <xf numFmtId="3" fontId="9" fillId="0" borderId="10" xfId="51" applyNumberFormat="1" applyFont="1" applyBorder="1" applyAlignment="1">
      <alignment horizontal="right"/>
      <protection/>
    </xf>
    <xf numFmtId="0" fontId="9" fillId="11" borderId="10" xfId="51" applyFont="1" applyFill="1" applyBorder="1">
      <alignment/>
      <protection/>
    </xf>
    <xf numFmtId="3" fontId="16" fillId="0" borderId="10" xfId="51" applyNumberFormat="1" applyFont="1" applyBorder="1" applyAlignment="1">
      <alignment horizontal="center"/>
      <protection/>
    </xf>
    <xf numFmtId="0" fontId="17" fillId="0" borderId="0" xfId="51" applyFont="1">
      <alignment/>
      <protection/>
    </xf>
    <xf numFmtId="9" fontId="18" fillId="0" borderId="0" xfId="51" applyNumberFormat="1" applyFont="1" applyBorder="1">
      <alignment/>
      <protection/>
    </xf>
    <xf numFmtId="9" fontId="18" fillId="0" borderId="0" xfId="54" applyFont="1" applyBorder="1" applyAlignment="1">
      <alignment horizontal="right"/>
    </xf>
    <xf numFmtId="9" fontId="10" fillId="0" borderId="0" xfId="54" applyNumberFormat="1" applyFont="1" applyFill="1" applyAlignment="1">
      <alignment horizontal="right"/>
    </xf>
    <xf numFmtId="9" fontId="5" fillId="0" borderId="0" xfId="54" applyNumberFormat="1" applyFont="1" applyFill="1" applyAlignment="1">
      <alignment horizontal="right"/>
    </xf>
    <xf numFmtId="0" fontId="17" fillId="0" borderId="0" xfId="51" applyFont="1" applyAlignment="1">
      <alignment horizontal="right"/>
      <protection/>
    </xf>
    <xf numFmtId="0" fontId="9" fillId="11" borderId="0" xfId="51" applyFont="1" applyFill="1">
      <alignment/>
      <protection/>
    </xf>
    <xf numFmtId="9" fontId="17" fillId="11" borderId="0" xfId="54" applyFont="1" applyFill="1" applyAlignment="1">
      <alignment horizontal="right"/>
    </xf>
    <xf numFmtId="9" fontId="17" fillId="0" borderId="0" xfId="54" applyFont="1" applyFill="1" applyBorder="1" applyAlignment="1">
      <alignment horizontal="right"/>
    </xf>
    <xf numFmtId="9" fontId="9" fillId="0" borderId="0" xfId="54" applyFont="1" applyFill="1" applyAlignment="1">
      <alignment horizontal="right"/>
    </xf>
    <xf numFmtId="9" fontId="9" fillId="0" borderId="0" xfId="54" applyFont="1" applyFill="1" applyBorder="1" applyAlignment="1">
      <alignment horizontal="right"/>
    </xf>
    <xf numFmtId="9" fontId="17" fillId="0" borderId="0" xfId="54" applyFont="1" applyBorder="1" applyAlignment="1">
      <alignment horizontal="right"/>
    </xf>
    <xf numFmtId="9" fontId="17" fillId="0" borderId="0" xfId="54" applyFont="1" applyAlignment="1">
      <alignment horizontal="right"/>
    </xf>
    <xf numFmtId="3" fontId="17" fillId="0" borderId="0" xfId="51" applyNumberFormat="1" applyFont="1" applyAlignment="1">
      <alignment horizontal="right"/>
      <protection/>
    </xf>
    <xf numFmtId="0" fontId="9" fillId="0" borderId="0" xfId="51" applyFont="1" applyAlignment="1">
      <alignment horizontal="center"/>
      <protection/>
    </xf>
    <xf numFmtId="0" fontId="16" fillId="0" borderId="0" xfId="51" applyFont="1" applyAlignment="1">
      <alignment horizontal="center"/>
      <protection/>
    </xf>
    <xf numFmtId="0" fontId="9" fillId="0" borderId="0" xfId="51" applyFont="1" applyFill="1" applyBorder="1">
      <alignment/>
      <protection/>
    </xf>
    <xf numFmtId="177" fontId="5" fillId="0" borderId="0" xfId="51" applyNumberFormat="1" applyFont="1" applyBorder="1" applyAlignment="1">
      <alignment horizontal="right"/>
      <protection/>
    </xf>
    <xf numFmtId="0" fontId="15" fillId="0" borderId="0" xfId="51" applyFont="1" applyBorder="1" applyAlignment="1">
      <alignment horizontal="right"/>
      <protection/>
    </xf>
    <xf numFmtId="0" fontId="10" fillId="7" borderId="11" xfId="51" applyFont="1" applyFill="1" applyBorder="1" applyAlignment="1">
      <alignment horizontal="right"/>
      <protection/>
    </xf>
    <xf numFmtId="0" fontId="10" fillId="0" borderId="0" xfId="51" applyFont="1" applyFill="1" applyBorder="1" applyAlignment="1">
      <alignment horizontal="right"/>
      <protection/>
    </xf>
    <xf numFmtId="0" fontId="10" fillId="7" borderId="0" xfId="51" applyFont="1" applyFill="1" applyBorder="1" applyAlignment="1">
      <alignment horizontal="left"/>
      <protection/>
    </xf>
    <xf numFmtId="0" fontId="19" fillId="0" borderId="0" xfId="51" applyFont="1" applyBorder="1" applyAlignment="1">
      <alignment horizontal="right"/>
      <protection/>
    </xf>
    <xf numFmtId="0" fontId="5" fillId="7" borderId="0" xfId="51" applyFont="1" applyFill="1" applyBorder="1" applyAlignment="1">
      <alignment horizontal="right"/>
      <protection/>
    </xf>
    <xf numFmtId="9" fontId="5" fillId="0" borderId="0" xfId="54" applyFont="1" applyBorder="1" applyAlignment="1">
      <alignment horizontal="center"/>
    </xf>
    <xf numFmtId="3" fontId="6" fillId="0" borderId="0" xfId="51" applyNumberFormat="1" applyFont="1" applyFill="1" applyBorder="1" applyAlignment="1">
      <alignment horizontal="right"/>
      <protection/>
    </xf>
    <xf numFmtId="3" fontId="10" fillId="18" borderId="0" xfId="51" applyNumberFormat="1" applyFont="1" applyFill="1" applyAlignment="1">
      <alignment horizontal="right"/>
      <protection/>
    </xf>
    <xf numFmtId="3" fontId="9" fillId="0" borderId="10" xfId="51" applyNumberFormat="1" applyFont="1" applyFill="1" applyBorder="1" applyAlignment="1">
      <alignment horizontal="right"/>
      <protection/>
    </xf>
    <xf numFmtId="3" fontId="5" fillId="0" borderId="0" xfId="51" applyNumberFormat="1" applyFont="1" applyBorder="1" applyAlignment="1">
      <alignment horizontal="center"/>
      <protection/>
    </xf>
    <xf numFmtId="3" fontId="10" fillId="0" borderId="0" xfId="51" applyNumberFormat="1" applyFont="1" applyAlignment="1">
      <alignment horizontal="right"/>
      <protection/>
    </xf>
    <xf numFmtId="3" fontId="10" fillId="0" borderId="0" xfId="51" applyNumberFormat="1" applyFont="1" applyBorder="1" applyAlignment="1">
      <alignment horizontal="right"/>
      <protection/>
    </xf>
    <xf numFmtId="0" fontId="6" fillId="0" borderId="0" xfId="51" applyFont="1">
      <alignment/>
      <protection/>
    </xf>
    <xf numFmtId="3" fontId="5" fillId="0" borderId="0" xfId="51" applyNumberFormat="1" applyFont="1" applyBorder="1" applyAlignment="1" quotePrefix="1">
      <alignment horizontal="center"/>
      <protection/>
    </xf>
    <xf numFmtId="0" fontId="6" fillId="0" borderId="0" xfId="51" applyFont="1" applyFill="1" applyBorder="1">
      <alignment/>
      <protection/>
    </xf>
    <xf numFmtId="0" fontId="5" fillId="11" borderId="0" xfId="51" applyFont="1" applyFill="1">
      <alignment/>
      <protection/>
    </xf>
    <xf numFmtId="0" fontId="13" fillId="7" borderId="12" xfId="51" applyFont="1" applyFill="1" applyBorder="1">
      <alignment/>
      <protection/>
    </xf>
    <xf numFmtId="0" fontId="14" fillId="7" borderId="12" xfId="51" applyFont="1" applyFill="1" applyBorder="1" applyAlignment="1">
      <alignment horizontal="right"/>
      <protection/>
    </xf>
    <xf numFmtId="0" fontId="14" fillId="7" borderId="12" xfId="51" applyFont="1" applyFill="1" applyBorder="1">
      <alignment/>
      <protection/>
    </xf>
    <xf numFmtId="3" fontId="6" fillId="7" borderId="12" xfId="51" applyNumberFormat="1" applyFont="1" applyFill="1" applyBorder="1" applyAlignment="1">
      <alignment horizontal="right"/>
      <protection/>
    </xf>
    <xf numFmtId="0" fontId="14" fillId="0" borderId="0" xfId="51" applyFont="1" applyFill="1" applyBorder="1" applyAlignment="1">
      <alignment horizontal="right"/>
      <protection/>
    </xf>
    <xf numFmtId="0" fontId="14" fillId="0" borderId="0" xfId="51" applyFont="1" applyFill="1" applyBorder="1">
      <alignment/>
      <protection/>
    </xf>
    <xf numFmtId="3" fontId="6" fillId="0" borderId="0" xfId="51" applyNumberFormat="1" applyFont="1" applyBorder="1" applyAlignment="1" quotePrefix="1">
      <alignment horizontal="center"/>
      <protection/>
    </xf>
    <xf numFmtId="0" fontId="6" fillId="11" borderId="0" xfId="51" applyFont="1" applyFill="1" applyAlignment="1">
      <alignment/>
      <protection/>
    </xf>
    <xf numFmtId="0" fontId="5" fillId="11" borderId="0" xfId="51" applyFont="1" applyFill="1" applyAlignment="1">
      <alignment horizontal="right"/>
      <protection/>
    </xf>
    <xf numFmtId="0" fontId="6" fillId="11" borderId="0" xfId="51" applyFont="1" applyFill="1" applyAlignment="1">
      <alignment horizontal="left"/>
      <protection/>
    </xf>
    <xf numFmtId="3" fontId="6" fillId="0" borderId="0" xfId="51" applyNumberFormat="1" applyFont="1" applyBorder="1" applyAlignment="1">
      <alignment horizontal="left"/>
      <protection/>
    </xf>
    <xf numFmtId="3" fontId="5" fillId="0" borderId="0" xfId="51" applyNumberFormat="1" applyFont="1" applyBorder="1" applyAlignment="1">
      <alignment horizontal="left"/>
      <protection/>
    </xf>
    <xf numFmtId="3" fontId="5" fillId="0" borderId="0" xfId="51" applyNumberFormat="1" applyFont="1" applyBorder="1" applyAlignment="1">
      <alignment horizontal="right"/>
      <protection/>
    </xf>
    <xf numFmtId="0" fontId="18" fillId="0" borderId="0" xfId="51" applyFont="1">
      <alignment/>
      <protection/>
    </xf>
    <xf numFmtId="0" fontId="18" fillId="0" borderId="0" xfId="51" applyFont="1" applyAlignment="1">
      <alignment horizontal="right"/>
      <protection/>
    </xf>
    <xf numFmtId="174" fontId="18" fillId="0" borderId="0" xfId="54" applyNumberFormat="1" applyFont="1" applyAlignment="1">
      <alignment horizontal="right"/>
    </xf>
    <xf numFmtId="0" fontId="10" fillId="11" borderId="0" xfId="51" applyFont="1" applyFill="1">
      <alignment/>
      <protection/>
    </xf>
    <xf numFmtId="0" fontId="9" fillId="11" borderId="0" xfId="51" applyFont="1" applyFill="1" applyAlignment="1">
      <alignment horizontal="right"/>
      <protection/>
    </xf>
    <xf numFmtId="0" fontId="9" fillId="11" borderId="0" xfId="51" applyFont="1" applyFill="1" applyAlignment="1">
      <alignment horizontal="left"/>
      <protection/>
    </xf>
    <xf numFmtId="3" fontId="10" fillId="0" borderId="0" xfId="51" applyNumberFormat="1" applyFont="1" applyFill="1" applyBorder="1" applyAlignment="1">
      <alignment horizontal="right"/>
      <protection/>
    </xf>
    <xf numFmtId="0" fontId="14" fillId="11" borderId="10" xfId="51" applyFont="1" applyFill="1" applyBorder="1">
      <alignment/>
      <protection/>
    </xf>
    <xf numFmtId="3" fontId="10" fillId="0" borderId="0" xfId="51" applyNumberFormat="1" applyFont="1" applyAlignment="1" quotePrefix="1">
      <alignment horizontal="right"/>
      <protection/>
    </xf>
    <xf numFmtId="0" fontId="9" fillId="11" borderId="0" xfId="51" applyFont="1" applyFill="1" applyBorder="1" applyAlignment="1">
      <alignment horizontal="right"/>
      <protection/>
    </xf>
    <xf numFmtId="9" fontId="5" fillId="11" borderId="0" xfId="51" applyNumberFormat="1" applyFont="1" applyFill="1" applyAlignment="1">
      <alignment horizontal="center"/>
      <protection/>
    </xf>
    <xf numFmtId="3" fontId="6" fillId="11" borderId="0" xfId="51" applyNumberFormat="1" applyFont="1" applyFill="1" applyAlignment="1">
      <alignment horizontal="center"/>
      <protection/>
    </xf>
    <xf numFmtId="1" fontId="6" fillId="19" borderId="0" xfId="51" applyNumberFormat="1" applyFont="1" applyFill="1" applyAlignment="1">
      <alignment horizontal="center"/>
      <protection/>
    </xf>
    <xf numFmtId="0" fontId="10" fillId="0" borderId="0" xfId="51" applyFont="1" applyFill="1" applyBorder="1">
      <alignment/>
      <protection/>
    </xf>
    <xf numFmtId="9" fontId="10" fillId="0" borderId="0" xfId="54" applyFont="1" applyBorder="1" applyAlignment="1">
      <alignment horizontal="right"/>
    </xf>
    <xf numFmtId="9" fontId="10" fillId="18" borderId="0" xfId="51" applyNumberFormat="1" applyFont="1" applyFill="1" applyAlignment="1">
      <alignment horizontal="center"/>
      <protection/>
    </xf>
    <xf numFmtId="178" fontId="10" fillId="19" borderId="0" xfId="54" applyNumberFormat="1" applyFont="1" applyFill="1" applyBorder="1" applyAlignment="1">
      <alignment horizontal="center"/>
    </xf>
    <xf numFmtId="9" fontId="10" fillId="19" borderId="0" xfId="54" applyNumberFormat="1" applyFont="1" applyFill="1" applyAlignment="1">
      <alignment horizontal="center"/>
    </xf>
    <xf numFmtId="3" fontId="10" fillId="0" borderId="0" xfId="51" applyNumberFormat="1" applyFont="1" applyFill="1" applyAlignment="1">
      <alignment horizontal="left"/>
      <protection/>
    </xf>
    <xf numFmtId="3" fontId="9" fillId="11" borderId="0" xfId="51" applyNumberFormat="1" applyFont="1" applyFill="1">
      <alignment/>
      <protection/>
    </xf>
    <xf numFmtId="0" fontId="10" fillId="0" borderId="0" xfId="51" applyFont="1" applyFill="1" applyBorder="1" applyAlignment="1">
      <alignment horizontal="left"/>
      <protection/>
    </xf>
    <xf numFmtId="0" fontId="10" fillId="11" borderId="0" xfId="51" applyFont="1" applyFill="1" applyAlignment="1">
      <alignment horizontal="right"/>
      <protection/>
    </xf>
    <xf numFmtId="3" fontId="10" fillId="0" borderId="0" xfId="51" applyNumberFormat="1" applyFont="1" applyFill="1" applyBorder="1" applyAlignment="1">
      <alignment horizontal="center"/>
      <protection/>
    </xf>
    <xf numFmtId="9" fontId="10" fillId="0" borderId="0" xfId="54" applyFont="1" applyFill="1" applyBorder="1" applyAlignment="1">
      <alignment horizontal="right"/>
    </xf>
    <xf numFmtId="0" fontId="10" fillId="11" borderId="10" xfId="51" applyFont="1" applyFill="1" applyBorder="1" applyAlignment="1">
      <alignment horizontal="center"/>
      <protection/>
    </xf>
    <xf numFmtId="9" fontId="9" fillId="11" borderId="0" xfId="51" applyNumberFormat="1" applyFont="1" applyFill="1" applyBorder="1" applyAlignment="1">
      <alignment horizontal="center"/>
      <protection/>
    </xf>
    <xf numFmtId="0" fontId="9" fillId="11" borderId="0" xfId="51" applyFont="1" applyFill="1" applyBorder="1" applyAlignment="1">
      <alignment horizontal="center"/>
      <protection/>
    </xf>
    <xf numFmtId="0" fontId="9" fillId="11" borderId="13" xfId="51" applyFont="1" applyFill="1" applyBorder="1">
      <alignment/>
      <protection/>
    </xf>
    <xf numFmtId="9" fontId="9" fillId="11" borderId="0" xfId="51" applyNumberFormat="1" applyFont="1" applyFill="1" applyBorder="1" applyAlignment="1">
      <alignment horizontal="right"/>
      <protection/>
    </xf>
    <xf numFmtId="9" fontId="9" fillId="11" borderId="14" xfId="51" applyNumberFormat="1" applyFont="1" applyFill="1" applyBorder="1" applyAlignment="1">
      <alignment horizontal="right"/>
      <protection/>
    </xf>
    <xf numFmtId="0" fontId="12" fillId="11" borderId="0" xfId="51" applyFont="1" applyFill="1">
      <alignment/>
      <protection/>
    </xf>
    <xf numFmtId="0" fontId="10" fillId="11" borderId="15" xfId="51" applyFont="1" applyFill="1" applyBorder="1">
      <alignment/>
      <protection/>
    </xf>
    <xf numFmtId="0" fontId="10" fillId="11" borderId="11" xfId="51" applyFont="1" applyFill="1" applyBorder="1" applyAlignment="1">
      <alignment horizontal="center"/>
      <protection/>
    </xf>
    <xf numFmtId="9" fontId="9" fillId="11" borderId="10" xfId="51" applyNumberFormat="1" applyFont="1" applyFill="1" applyBorder="1">
      <alignment/>
      <protection/>
    </xf>
    <xf numFmtId="0" fontId="9" fillId="0" borderId="0" xfId="51" applyFont="1" applyFill="1" applyBorder="1" applyAlignment="1">
      <alignment horizontal="center"/>
      <protection/>
    </xf>
    <xf numFmtId="0" fontId="10" fillId="11" borderId="0" xfId="51" applyFont="1" applyFill="1" applyBorder="1" applyAlignment="1">
      <alignment horizontal="center"/>
      <protection/>
    </xf>
    <xf numFmtId="0" fontId="6" fillId="11" borderId="0" xfId="51" applyFont="1" applyFill="1" applyBorder="1" applyAlignment="1">
      <alignment horizontal="center"/>
      <protection/>
    </xf>
    <xf numFmtId="0" fontId="12" fillId="11" borderId="0" xfId="51" applyFont="1" applyFill="1" applyBorder="1">
      <alignment/>
      <protection/>
    </xf>
    <xf numFmtId="0" fontId="5" fillId="11" borderId="0" xfId="51" applyFont="1" applyFill="1" applyBorder="1" applyAlignment="1" quotePrefix="1">
      <alignment horizontal="center"/>
      <protection/>
    </xf>
    <xf numFmtId="0" fontId="20" fillId="11" borderId="0" xfId="51" applyFont="1" applyFill="1">
      <alignment/>
      <protection/>
    </xf>
    <xf numFmtId="0" fontId="20" fillId="11" borderId="0" xfId="51" applyFont="1" applyFill="1" applyBorder="1">
      <alignment/>
      <protection/>
    </xf>
    <xf numFmtId="9" fontId="6" fillId="11" borderId="0" xfId="54" applyFont="1" applyFill="1" applyBorder="1" applyAlignment="1">
      <alignment horizontal="center"/>
    </xf>
    <xf numFmtId="0" fontId="13" fillId="0" borderId="10" xfId="51" applyFont="1" applyBorder="1" applyAlignment="1">
      <alignment horizontal="center"/>
      <protection/>
    </xf>
    <xf numFmtId="0" fontId="13" fillId="0" borderId="0" xfId="51" applyFont="1" applyBorder="1" applyAlignment="1">
      <alignment horizontal="center"/>
      <protection/>
    </xf>
    <xf numFmtId="9" fontId="17" fillId="0" borderId="0" xfId="54" applyNumberFormat="1" applyFont="1" applyBorder="1" applyAlignment="1">
      <alignment horizontal="right"/>
    </xf>
    <xf numFmtId="9" fontId="17" fillId="11" borderId="0" xfId="54" applyFont="1" applyFill="1" applyBorder="1" applyAlignment="1">
      <alignment horizontal="right"/>
    </xf>
    <xf numFmtId="0" fontId="9" fillId="0" borderId="0" xfId="51" applyFont="1" applyBorder="1" applyAlignment="1">
      <alignment horizontal="center"/>
      <protection/>
    </xf>
    <xf numFmtId="3" fontId="9" fillId="11" borderId="0" xfId="51" applyNumberFormat="1" applyFont="1" applyFill="1" applyBorder="1" applyAlignment="1">
      <alignment horizontal="right"/>
      <protection/>
    </xf>
    <xf numFmtId="3" fontId="9" fillId="0" borderId="13" xfId="51" applyNumberFormat="1" applyFont="1" applyBorder="1" applyAlignment="1">
      <alignment horizontal="right"/>
      <protection/>
    </xf>
    <xf numFmtId="0" fontId="6" fillId="6" borderId="0" xfId="51" applyFont="1" applyFill="1" applyBorder="1" applyAlignment="1">
      <alignment horizontal="left"/>
      <protection/>
    </xf>
    <xf numFmtId="9" fontId="10" fillId="18" borderId="0" xfId="54" applyFont="1" applyFill="1" applyAlignment="1">
      <alignment horizontal="right"/>
    </xf>
    <xf numFmtId="9" fontId="10" fillId="18" borderId="0" xfId="54" applyNumberFormat="1" applyFont="1" applyFill="1" applyAlignment="1">
      <alignment horizontal="right"/>
    </xf>
    <xf numFmtId="1" fontId="10" fillId="18" borderId="0" xfId="53" applyNumberFormat="1" applyFont="1" applyFill="1" applyAlignment="1">
      <alignment horizontal="center"/>
    </xf>
    <xf numFmtId="9" fontId="10" fillId="18" borderId="0" xfId="54" applyFont="1" applyFill="1" applyAlignment="1">
      <alignment horizontal="center"/>
    </xf>
    <xf numFmtId="9" fontId="10" fillId="18" borderId="0" xfId="54" applyNumberFormat="1" applyFont="1" applyFill="1" applyAlignment="1">
      <alignment horizontal="center"/>
    </xf>
    <xf numFmtId="9" fontId="10" fillId="18" borderId="0" xfId="53" applyFont="1" applyFill="1" applyAlignment="1">
      <alignment horizontal="center"/>
    </xf>
    <xf numFmtId="9" fontId="5" fillId="0" borderId="0" xfId="54" applyNumberFormat="1" applyFont="1" applyFill="1" applyAlignment="1">
      <alignment horizontal="left"/>
    </xf>
    <xf numFmtId="9" fontId="6" fillId="11" borderId="0" xfId="53" applyFont="1" applyFill="1" applyAlignment="1">
      <alignment/>
    </xf>
    <xf numFmtId="3" fontId="10" fillId="18" borderId="0" xfId="51" applyNumberFormat="1" applyFont="1" applyFill="1" applyAlignment="1">
      <alignment horizontal="center"/>
      <protection/>
    </xf>
    <xf numFmtId="3" fontId="9" fillId="0" borderId="0" xfId="54" applyNumberFormat="1" applyFont="1" applyBorder="1" applyAlignment="1">
      <alignment/>
    </xf>
    <xf numFmtId="9" fontId="17" fillId="0" borderId="13" xfId="54" applyFont="1" applyBorder="1" applyAlignment="1">
      <alignment horizontal="right"/>
    </xf>
    <xf numFmtId="174" fontId="9" fillId="0" borderId="0" xfId="54" applyNumberFormat="1" applyFont="1" applyBorder="1" applyAlignment="1">
      <alignment horizontal="right"/>
    </xf>
    <xf numFmtId="0" fontId="10" fillId="7" borderId="0" xfId="51" applyFont="1" applyFill="1" applyBorder="1" applyAlignment="1">
      <alignment horizontal="right"/>
      <protection/>
    </xf>
    <xf numFmtId="3" fontId="10" fillId="0" borderId="10" xfId="51" applyNumberFormat="1" applyFont="1" applyBorder="1" applyAlignment="1">
      <alignment horizontal="right"/>
      <protection/>
    </xf>
    <xf numFmtId="0" fontId="10" fillId="7" borderId="16" xfId="51" applyFont="1" applyFill="1" applyBorder="1" applyAlignment="1">
      <alignment horizontal="right"/>
      <protection/>
    </xf>
    <xf numFmtId="3" fontId="9" fillId="0" borderId="17" xfId="51" applyNumberFormat="1" applyFont="1" applyBorder="1" applyAlignment="1">
      <alignment horizontal="right"/>
      <protection/>
    </xf>
    <xf numFmtId="3" fontId="9" fillId="0" borderId="18" xfId="51" applyNumberFormat="1" applyFont="1" applyBorder="1" applyAlignment="1">
      <alignment horizontal="right"/>
      <protection/>
    </xf>
    <xf numFmtId="3" fontId="9" fillId="0" borderId="14" xfId="51" applyNumberFormat="1" applyFont="1" applyBorder="1" applyAlignment="1">
      <alignment horizontal="right"/>
      <protection/>
    </xf>
    <xf numFmtId="3" fontId="9" fillId="0" borderId="14" xfId="51" applyNumberFormat="1" applyFont="1" applyFill="1" applyBorder="1" applyAlignment="1">
      <alignment horizontal="right"/>
      <protection/>
    </xf>
    <xf numFmtId="3" fontId="9" fillId="0" borderId="18" xfId="51" applyNumberFormat="1" applyFont="1" applyFill="1" applyBorder="1" applyAlignment="1">
      <alignment horizontal="right"/>
      <protection/>
    </xf>
    <xf numFmtId="0" fontId="9" fillId="0" borderId="0" xfId="51" applyFont="1" quotePrefix="1">
      <alignment/>
      <protection/>
    </xf>
    <xf numFmtId="0" fontId="10" fillId="7" borderId="12" xfId="51" applyFont="1" applyFill="1" applyBorder="1" applyAlignment="1">
      <alignment horizontal="right"/>
      <protection/>
    </xf>
    <xf numFmtId="3" fontId="9" fillId="11" borderId="10" xfId="51" applyNumberFormat="1" applyFont="1" applyFill="1" applyBorder="1" applyAlignment="1">
      <alignment horizontal="right"/>
      <protection/>
    </xf>
    <xf numFmtId="1" fontId="10" fillId="18" borderId="0" xfId="54" applyNumberFormat="1" applyFont="1" applyFill="1" applyAlignment="1">
      <alignment horizontal="center"/>
    </xf>
    <xf numFmtId="1" fontId="10" fillId="0" borderId="0" xfId="54" applyNumberFormat="1" applyFont="1" applyBorder="1" applyAlignment="1">
      <alignment horizontal="right"/>
    </xf>
    <xf numFmtId="1" fontId="10" fillId="0" borderId="0" xfId="51" applyNumberFormat="1" applyFont="1" applyAlignment="1">
      <alignment horizontal="right"/>
      <protection/>
    </xf>
    <xf numFmtId="178" fontId="10" fillId="0" borderId="0" xfId="54" applyNumberFormat="1" applyFont="1" applyFill="1" applyBorder="1" applyAlignment="1">
      <alignment horizontal="center"/>
    </xf>
    <xf numFmtId="0" fontId="17" fillId="11" borderId="0" xfId="51" applyFont="1" applyFill="1" applyBorder="1" applyAlignment="1">
      <alignment horizontal="right"/>
      <protection/>
    </xf>
    <xf numFmtId="3" fontId="10" fillId="0" borderId="0" xfId="51" applyNumberFormat="1" applyFont="1" applyFill="1" applyAlignment="1">
      <alignment horizontal="right"/>
      <protection/>
    </xf>
    <xf numFmtId="9" fontId="10" fillId="0" borderId="0" xfId="51" applyNumberFormat="1" applyFont="1" applyFill="1" applyAlignment="1">
      <alignment horizontal="center"/>
      <protection/>
    </xf>
    <xf numFmtId="9" fontId="10" fillId="0" borderId="0" xfId="54" applyNumberFormat="1" applyFont="1" applyFill="1" applyAlignment="1">
      <alignment horizontal="center"/>
    </xf>
    <xf numFmtId="1" fontId="9" fillId="11" borderId="0" xfId="51" applyNumberFormat="1" applyFont="1" applyFill="1" applyBorder="1" applyAlignment="1">
      <alignment horizontal="right"/>
      <protection/>
    </xf>
    <xf numFmtId="0" fontId="14" fillId="7" borderId="12" xfId="51" applyFont="1" applyFill="1" applyBorder="1" applyProtection="1">
      <alignment/>
      <protection hidden="1"/>
    </xf>
    <xf numFmtId="0" fontId="16" fillId="7" borderId="12" xfId="51" applyFont="1" applyFill="1" applyBorder="1">
      <alignment/>
      <protection/>
    </xf>
    <xf numFmtId="0" fontId="9" fillId="7" borderId="12" xfId="51" applyFont="1" applyFill="1" applyBorder="1" applyAlignment="1">
      <alignment horizontal="right"/>
      <protection/>
    </xf>
    <xf numFmtId="0" fontId="9" fillId="7" borderId="12" xfId="51" applyFont="1" applyFill="1" applyBorder="1">
      <alignment/>
      <protection/>
    </xf>
    <xf numFmtId="9" fontId="10" fillId="7" borderId="12" xfId="54" applyFont="1" applyFill="1" applyBorder="1" applyAlignment="1">
      <alignment horizontal="right"/>
    </xf>
    <xf numFmtId="0" fontId="10" fillId="11" borderId="11" xfId="51" applyFont="1" applyFill="1" applyBorder="1">
      <alignment/>
      <protection/>
    </xf>
    <xf numFmtId="0" fontId="10" fillId="11" borderId="16" xfId="51" applyFont="1" applyFill="1" applyBorder="1">
      <alignment/>
      <protection/>
    </xf>
    <xf numFmtId="0" fontId="9" fillId="11" borderId="15" xfId="51" applyFont="1" applyFill="1" applyBorder="1" applyAlignment="1">
      <alignment horizontal="left" indent="1"/>
      <protection/>
    </xf>
    <xf numFmtId="1" fontId="9" fillId="11" borderId="14" xfId="51" applyNumberFormat="1" applyFont="1" applyFill="1" applyBorder="1" applyAlignment="1">
      <alignment horizontal="right"/>
      <protection/>
    </xf>
    <xf numFmtId="0" fontId="6" fillId="11" borderId="14" xfId="51" applyFont="1" applyFill="1" applyBorder="1">
      <alignment/>
      <protection/>
    </xf>
    <xf numFmtId="0" fontId="6" fillId="11" borderId="15" xfId="51" applyFont="1" applyFill="1" applyBorder="1">
      <alignment/>
      <protection/>
    </xf>
    <xf numFmtId="0" fontId="6" fillId="11" borderId="10" xfId="51" applyFont="1" applyFill="1" applyBorder="1">
      <alignment/>
      <protection/>
    </xf>
    <xf numFmtId="0" fontId="6" fillId="11" borderId="18" xfId="51" applyFont="1" applyFill="1" applyBorder="1">
      <alignment/>
      <protection/>
    </xf>
    <xf numFmtId="0" fontId="10" fillId="11" borderId="18" xfId="51" applyFont="1" applyFill="1" applyBorder="1" applyAlignment="1">
      <alignment horizontal="center"/>
      <protection/>
    </xf>
    <xf numFmtId="0" fontId="9" fillId="11" borderId="14" xfId="51" applyFont="1" applyFill="1" applyBorder="1" applyAlignment="1">
      <alignment horizontal="center"/>
      <protection/>
    </xf>
    <xf numFmtId="0" fontId="10" fillId="11" borderId="19" xfId="51" applyFont="1" applyFill="1" applyBorder="1">
      <alignment/>
      <protection/>
    </xf>
    <xf numFmtId="9" fontId="9" fillId="11" borderId="10" xfId="51" applyNumberFormat="1" applyFont="1" applyFill="1" applyBorder="1" applyAlignment="1">
      <alignment horizontal="center"/>
      <protection/>
    </xf>
    <xf numFmtId="0" fontId="9" fillId="11" borderId="18" xfId="51" applyFont="1" applyFill="1" applyBorder="1" applyAlignment="1">
      <alignment horizontal="center"/>
      <protection/>
    </xf>
    <xf numFmtId="0" fontId="6" fillId="7" borderId="20" xfId="51" applyFont="1" applyFill="1" applyBorder="1">
      <alignment/>
      <protection/>
    </xf>
    <xf numFmtId="0" fontId="6" fillId="7" borderId="13" xfId="51" applyFont="1" applyFill="1" applyBorder="1">
      <alignment/>
      <protection/>
    </xf>
    <xf numFmtId="0" fontId="10" fillId="7" borderId="13" xfId="51" applyFont="1" applyFill="1" applyBorder="1" applyAlignment="1">
      <alignment horizontal="center"/>
      <protection/>
    </xf>
    <xf numFmtId="0" fontId="6" fillId="7" borderId="17" xfId="51" applyFont="1" applyFill="1" applyBorder="1">
      <alignment/>
      <protection/>
    </xf>
    <xf numFmtId="0" fontId="6" fillId="7" borderId="21" xfId="51" applyFont="1" applyFill="1" applyBorder="1">
      <alignment/>
      <protection/>
    </xf>
    <xf numFmtId="0" fontId="14" fillId="7" borderId="11" xfId="51" applyFont="1" applyFill="1" applyBorder="1" applyAlignment="1">
      <alignment horizontal="center"/>
      <protection/>
    </xf>
    <xf numFmtId="0" fontId="9" fillId="7" borderId="11" xfId="51" applyFont="1" applyFill="1" applyBorder="1">
      <alignment/>
      <protection/>
    </xf>
    <xf numFmtId="9" fontId="10" fillId="7" borderId="16" xfId="54" applyFont="1" applyFill="1" applyBorder="1" applyAlignment="1">
      <alignment horizontal="right"/>
    </xf>
    <xf numFmtId="0" fontId="6" fillId="7" borderId="11" xfId="51" applyFont="1" applyFill="1" applyBorder="1">
      <alignment/>
      <protection/>
    </xf>
    <xf numFmtId="0" fontId="10" fillId="7" borderId="11" xfId="51" applyFont="1" applyFill="1" applyBorder="1" applyAlignment="1">
      <alignment horizontal="center"/>
      <protection/>
    </xf>
    <xf numFmtId="0" fontId="6" fillId="7" borderId="16" xfId="51" applyFont="1" applyFill="1" applyBorder="1">
      <alignment/>
      <protection/>
    </xf>
    <xf numFmtId="0" fontId="6" fillId="11" borderId="19" xfId="51" applyFont="1" applyFill="1" applyBorder="1">
      <alignment/>
      <protection/>
    </xf>
    <xf numFmtId="0" fontId="6" fillId="7" borderId="19" xfId="51" applyFont="1" applyFill="1" applyBorder="1">
      <alignment/>
      <protection/>
    </xf>
    <xf numFmtId="0" fontId="6" fillId="7" borderId="10" xfId="51" applyFont="1" applyFill="1" applyBorder="1">
      <alignment/>
      <protection/>
    </xf>
    <xf numFmtId="0" fontId="10" fillId="7" borderId="10" xfId="51" applyFont="1" applyFill="1" applyBorder="1" applyAlignment="1">
      <alignment horizontal="center"/>
      <protection/>
    </xf>
    <xf numFmtId="0" fontId="9" fillId="7" borderId="18" xfId="51" applyFont="1" applyFill="1" applyBorder="1">
      <alignment/>
      <protection/>
    </xf>
    <xf numFmtId="0" fontId="10" fillId="11" borderId="21" xfId="51" applyFont="1" applyFill="1" applyBorder="1" applyAlignment="1">
      <alignment horizontal="center"/>
      <protection/>
    </xf>
    <xf numFmtId="0" fontId="10" fillId="11" borderId="16" xfId="51" applyFont="1" applyFill="1" applyBorder="1" applyAlignment="1">
      <alignment horizontal="center"/>
      <protection/>
    </xf>
    <xf numFmtId="9" fontId="9" fillId="11" borderId="15" xfId="51" applyNumberFormat="1" applyFont="1" applyFill="1" applyBorder="1" applyAlignment="1">
      <alignment horizontal="left"/>
      <protection/>
    </xf>
    <xf numFmtId="0" fontId="9" fillId="0" borderId="14" xfId="51" applyFont="1" applyFill="1" applyBorder="1" applyAlignment="1">
      <alignment horizontal="center"/>
      <protection/>
    </xf>
    <xf numFmtId="0" fontId="6" fillId="11" borderId="0" xfId="51" applyFont="1" applyFill="1" applyBorder="1" applyAlignment="1">
      <alignment horizontal="left"/>
      <protection/>
    </xf>
    <xf numFmtId="0" fontId="9" fillId="11" borderId="14" xfId="51" applyFont="1" applyFill="1" applyBorder="1">
      <alignment/>
      <protection/>
    </xf>
    <xf numFmtId="0" fontId="9" fillId="11" borderId="19" xfId="51" applyFont="1" applyFill="1" applyBorder="1" applyAlignment="1">
      <alignment horizontal="left" indent="1"/>
      <protection/>
    </xf>
    <xf numFmtId="0" fontId="9" fillId="11" borderId="18" xfId="51" applyFont="1" applyFill="1" applyBorder="1">
      <alignment/>
      <protection/>
    </xf>
    <xf numFmtId="3" fontId="10" fillId="18" borderId="10" xfId="51" applyNumberFormat="1" applyFont="1" applyFill="1" applyBorder="1" applyAlignment="1">
      <alignment horizontal="right"/>
      <protection/>
    </xf>
    <xf numFmtId="3" fontId="10" fillId="18" borderId="0" xfId="51" applyNumberFormat="1" applyFont="1" applyFill="1" applyBorder="1" applyAlignment="1">
      <alignment horizontal="right"/>
      <protection/>
    </xf>
    <xf numFmtId="3" fontId="11" fillId="7" borderId="12" xfId="51" applyNumberFormat="1" applyFont="1" applyFill="1" applyBorder="1" applyAlignment="1">
      <alignment horizontal="right"/>
      <protection/>
    </xf>
    <xf numFmtId="3" fontId="11" fillId="0" borderId="0" xfId="51" applyNumberFormat="1" applyFont="1" applyFill="1" applyBorder="1" applyAlignment="1">
      <alignment horizontal="right"/>
      <protection/>
    </xf>
    <xf numFmtId="9" fontId="6" fillId="11" borderId="0" xfId="55" applyFont="1" applyFill="1" applyBorder="1" applyAlignment="1">
      <alignment horizontal="center"/>
    </xf>
    <xf numFmtId="9" fontId="10" fillId="7" borderId="16" xfId="55" applyFont="1" applyFill="1" applyBorder="1" applyAlignment="1">
      <alignment horizontal="right"/>
    </xf>
    <xf numFmtId="9" fontId="10" fillId="0" borderId="0" xfId="55" applyFont="1" applyFill="1" applyBorder="1" applyAlignment="1">
      <alignment horizontal="right"/>
    </xf>
    <xf numFmtId="9" fontId="10" fillId="7" borderId="12" xfId="55" applyFont="1" applyFill="1" applyBorder="1" applyAlignment="1">
      <alignment horizontal="right"/>
    </xf>
    <xf numFmtId="9" fontId="10" fillId="0" borderId="0" xfId="55" applyFont="1" applyBorder="1" applyAlignment="1">
      <alignment horizontal="right"/>
    </xf>
    <xf numFmtId="9" fontId="10" fillId="19" borderId="0" xfId="55" applyNumberFormat="1" applyFont="1" applyFill="1" applyAlignment="1">
      <alignment horizontal="center"/>
    </xf>
    <xf numFmtId="178" fontId="10" fillId="19" borderId="0" xfId="55" applyNumberFormat="1" applyFont="1" applyFill="1" applyBorder="1" applyAlignment="1">
      <alignment horizontal="center"/>
    </xf>
    <xf numFmtId="9" fontId="10" fillId="0" borderId="0" xfId="55" applyNumberFormat="1" applyFont="1" applyFill="1" applyAlignment="1">
      <alignment horizontal="center"/>
    </xf>
    <xf numFmtId="178" fontId="10" fillId="0" borderId="0" xfId="55" applyNumberFormat="1" applyFont="1" applyFill="1" applyBorder="1" applyAlignment="1">
      <alignment horizontal="center"/>
    </xf>
    <xf numFmtId="1" fontId="10" fillId="0" borderId="0" xfId="55" applyNumberFormat="1" applyFont="1" applyBorder="1" applyAlignment="1">
      <alignment horizontal="right"/>
    </xf>
    <xf numFmtId="174" fontId="18" fillId="0" borderId="0" xfId="55" applyNumberFormat="1" applyFont="1" applyAlignment="1">
      <alignment horizontal="right"/>
    </xf>
    <xf numFmtId="9" fontId="5" fillId="0" borderId="0" xfId="55" applyFont="1" applyBorder="1" applyAlignment="1">
      <alignment horizontal="center"/>
    </xf>
    <xf numFmtId="9" fontId="10" fillId="18" borderId="0" xfId="55" applyFont="1" applyFill="1" applyAlignment="1">
      <alignment horizontal="right"/>
    </xf>
    <xf numFmtId="9" fontId="17" fillId="0" borderId="0" xfId="55" applyFont="1" applyFill="1" applyBorder="1" applyAlignment="1">
      <alignment horizontal="right"/>
    </xf>
    <xf numFmtId="9" fontId="17" fillId="0" borderId="0" xfId="55" applyFont="1" applyBorder="1" applyAlignment="1">
      <alignment horizontal="right"/>
    </xf>
    <xf numFmtId="9" fontId="17" fillId="0" borderId="0" xfId="55" applyFont="1" applyAlignment="1">
      <alignment horizontal="right"/>
    </xf>
    <xf numFmtId="9" fontId="17" fillId="11" borderId="0" xfId="55" applyFont="1" applyFill="1" applyAlignment="1">
      <alignment horizontal="right"/>
    </xf>
    <xf numFmtId="9" fontId="17" fillId="11" borderId="0" xfId="55" applyFont="1" applyFill="1" applyBorder="1" applyAlignment="1">
      <alignment horizontal="right"/>
    </xf>
    <xf numFmtId="9" fontId="5" fillId="0" borderId="0" xfId="55" applyNumberFormat="1" applyFont="1" applyFill="1" applyAlignment="1">
      <alignment horizontal="left"/>
    </xf>
    <xf numFmtId="9" fontId="6" fillId="11" borderId="0" xfId="56" applyFont="1" applyFill="1" applyAlignment="1">
      <alignment/>
    </xf>
    <xf numFmtId="9" fontId="5" fillId="0" borderId="0" xfId="55" applyNumberFormat="1" applyFont="1" applyFill="1" applyAlignment="1">
      <alignment horizontal="right"/>
    </xf>
    <xf numFmtId="9" fontId="9" fillId="0" borderId="0" xfId="55" applyFont="1" applyFill="1" applyBorder="1" applyAlignment="1">
      <alignment horizontal="right"/>
    </xf>
    <xf numFmtId="9" fontId="9" fillId="0" borderId="0" xfId="55" applyFont="1" applyFill="1" applyAlignment="1">
      <alignment horizontal="right"/>
    </xf>
    <xf numFmtId="9" fontId="10" fillId="18" borderId="0" xfId="55" applyNumberFormat="1" applyFont="1" applyFill="1" applyAlignment="1">
      <alignment horizontal="center"/>
    </xf>
    <xf numFmtId="9" fontId="10" fillId="0" borderId="0" xfId="55" applyNumberFormat="1" applyFont="1" applyFill="1" applyAlignment="1">
      <alignment horizontal="right"/>
    </xf>
    <xf numFmtId="9" fontId="10" fillId="18" borderId="0" xfId="55" applyNumberFormat="1" applyFont="1" applyFill="1" applyAlignment="1">
      <alignment horizontal="right"/>
    </xf>
    <xf numFmtId="9" fontId="17" fillId="0" borderId="0" xfId="55" applyNumberFormat="1" applyFont="1" applyBorder="1" applyAlignment="1">
      <alignment horizontal="right"/>
    </xf>
    <xf numFmtId="9" fontId="18" fillId="0" borderId="0" xfId="55" applyFont="1" applyBorder="1" applyAlignment="1">
      <alignment horizontal="right"/>
    </xf>
    <xf numFmtId="9" fontId="17" fillId="0" borderId="13" xfId="55" applyFont="1" applyBorder="1" applyAlignment="1">
      <alignment horizontal="right"/>
    </xf>
    <xf numFmtId="9" fontId="10" fillId="18" borderId="0" xfId="55" applyFont="1" applyFill="1" applyAlignment="1">
      <alignment horizontal="center"/>
    </xf>
    <xf numFmtId="174" fontId="9" fillId="0" borderId="0" xfId="55" applyNumberFormat="1" applyFont="1" applyBorder="1" applyAlignment="1">
      <alignment horizontal="right"/>
    </xf>
    <xf numFmtId="174" fontId="9" fillId="0" borderId="10" xfId="55" applyNumberFormat="1" applyFont="1" applyBorder="1" applyAlignment="1">
      <alignment horizontal="right"/>
    </xf>
    <xf numFmtId="3" fontId="9" fillId="0" borderId="0" xfId="55" applyNumberFormat="1" applyFont="1" applyBorder="1" applyAlignment="1">
      <alignment horizontal="right"/>
    </xf>
    <xf numFmtId="3" fontId="9" fillId="0" borderId="0" xfId="55" applyNumberFormat="1" applyFont="1" applyBorder="1" applyAlignment="1">
      <alignment/>
    </xf>
    <xf numFmtId="3" fontId="9" fillId="0" borderId="0" xfId="55" applyNumberFormat="1" applyFont="1" applyAlignment="1">
      <alignment/>
    </xf>
    <xf numFmtId="3" fontId="9" fillId="0" borderId="0" xfId="55" applyNumberFormat="1" applyFont="1" applyFill="1" applyBorder="1" applyAlignment="1">
      <alignment horizontal="right"/>
    </xf>
    <xf numFmtId="3" fontId="9" fillId="0" borderId="0" xfId="55" applyNumberFormat="1" applyFont="1" applyAlignment="1">
      <alignment horizontal="right"/>
    </xf>
    <xf numFmtId="3" fontId="9" fillId="0" borderId="10" xfId="55" applyNumberFormat="1" applyFont="1" applyBorder="1" applyAlignment="1">
      <alignment horizontal="right"/>
    </xf>
    <xf numFmtId="3" fontId="9" fillId="0" borderId="10" xfId="55" applyNumberFormat="1" applyFont="1" applyFill="1" applyBorder="1" applyAlignment="1">
      <alignment horizontal="right"/>
    </xf>
    <xf numFmtId="3" fontId="6" fillId="0" borderId="0" xfId="55" applyNumberFormat="1" applyFont="1" applyBorder="1" applyAlignment="1">
      <alignment horizontal="right"/>
    </xf>
    <xf numFmtId="1" fontId="10" fillId="18" borderId="0" xfId="56" applyNumberFormat="1" applyFont="1" applyFill="1" applyAlignment="1">
      <alignment horizontal="center"/>
    </xf>
    <xf numFmtId="1" fontId="10" fillId="18" borderId="0" xfId="55" applyNumberFormat="1" applyFont="1" applyFill="1" applyAlignment="1">
      <alignment horizontal="center"/>
    </xf>
    <xf numFmtId="9" fontId="10" fillId="18" borderId="0" xfId="56" applyFont="1" applyFill="1" applyAlignment="1">
      <alignment horizontal="center"/>
    </xf>
    <xf numFmtId="9" fontId="10" fillId="0" borderId="0" xfId="55" applyFont="1" applyAlignment="1">
      <alignment horizontal="center"/>
    </xf>
    <xf numFmtId="0" fontId="10" fillId="11" borderId="21" xfId="51" applyFont="1" applyFill="1" applyBorder="1">
      <alignment/>
      <protection/>
    </xf>
    <xf numFmtId="9" fontId="10" fillId="11" borderId="11" xfId="51" applyNumberFormat="1" applyFont="1" applyFill="1" applyBorder="1" applyAlignment="1">
      <alignment horizontal="right"/>
      <protection/>
    </xf>
    <xf numFmtId="9" fontId="10" fillId="11" borderId="16" xfId="51" applyNumberFormat="1" applyFont="1" applyFill="1" applyBorder="1" applyAlignment="1">
      <alignment horizontal="right"/>
      <protection/>
    </xf>
    <xf numFmtId="9" fontId="10" fillId="11" borderId="11" xfId="51" applyNumberFormat="1" applyFont="1" applyFill="1" applyBorder="1">
      <alignment/>
      <protection/>
    </xf>
    <xf numFmtId="9" fontId="10" fillId="11" borderId="16" xfId="51" applyNumberFormat="1" applyFont="1" applyFill="1" applyBorder="1">
      <alignment/>
      <protection/>
    </xf>
    <xf numFmtId="0" fontId="9" fillId="11" borderId="20" xfId="51" applyFont="1" applyFill="1" applyBorder="1" applyAlignment="1">
      <alignment horizontal="left" indent="1"/>
      <protection/>
    </xf>
    <xf numFmtId="9" fontId="9" fillId="11" borderId="13" xfId="51" applyNumberFormat="1" applyFont="1" applyFill="1" applyBorder="1" applyAlignment="1">
      <alignment horizontal="right"/>
      <protection/>
    </xf>
    <xf numFmtId="9" fontId="9" fillId="11" borderId="17" xfId="51" applyNumberFormat="1" applyFont="1" applyFill="1" applyBorder="1" applyAlignment="1">
      <alignment horizontal="right"/>
      <protection/>
    </xf>
    <xf numFmtId="9" fontId="10" fillId="19" borderId="0" xfId="55" applyNumberFormat="1" applyFont="1" applyFill="1" applyAlignment="1">
      <alignment horizontal="center"/>
    </xf>
    <xf numFmtId="0" fontId="9" fillId="0" borderId="0" xfId="51" applyFont="1" applyAlignment="1">
      <alignment horizontal="right"/>
      <protection/>
    </xf>
    <xf numFmtId="0" fontId="13" fillId="0" borderId="0" xfId="51" applyFont="1" applyFill="1" applyBorder="1" applyAlignment="1">
      <alignment horizontal="center"/>
      <protection/>
    </xf>
    <xf numFmtId="9" fontId="16" fillId="0" borderId="0" xfId="55" applyFont="1" applyFill="1" applyAlignment="1">
      <alignment horizontal="right"/>
    </xf>
    <xf numFmtId="9" fontId="16" fillId="0" borderId="0" xfId="55" applyNumberFormat="1" applyFont="1" applyFill="1" applyAlignment="1">
      <alignment horizontal="right"/>
    </xf>
    <xf numFmtId="9" fontId="16" fillId="18" borderId="0" xfId="55" applyNumberFormat="1" applyFont="1" applyFill="1" applyAlignment="1">
      <alignment horizontal="right"/>
    </xf>
    <xf numFmtId="0" fontId="17" fillId="11" borderId="10" xfId="51" applyFont="1" applyFill="1" applyBorder="1" applyAlignment="1">
      <alignment horizontal="right"/>
      <protection/>
    </xf>
    <xf numFmtId="1" fontId="9" fillId="11" borderId="10" xfId="51" applyNumberFormat="1" applyFont="1" applyFill="1" applyBorder="1">
      <alignment/>
      <protection/>
    </xf>
    <xf numFmtId="0" fontId="23" fillId="11" borderId="0" xfId="51" applyFont="1" applyFill="1">
      <alignment/>
      <protection/>
    </xf>
    <xf numFmtId="3" fontId="23" fillId="0" borderId="0" xfId="51" applyNumberFormat="1" applyFont="1" applyBorder="1" applyAlignment="1">
      <alignment horizontal="right"/>
      <protection/>
    </xf>
    <xf numFmtId="0" fontId="23" fillId="0" borderId="0" xfId="51" applyFont="1" applyBorder="1">
      <alignment/>
      <protection/>
    </xf>
    <xf numFmtId="0" fontId="14" fillId="7" borderId="11" xfId="51" applyFont="1" applyFill="1" applyBorder="1" applyAlignment="1">
      <alignment horizontal="right"/>
      <protection/>
    </xf>
    <xf numFmtId="9" fontId="10" fillId="18" borderId="12" xfId="56" applyFont="1" applyFill="1" applyBorder="1" applyAlignment="1">
      <alignment horizontal="center"/>
    </xf>
    <xf numFmtId="0" fontId="9" fillId="0" borderId="10" xfId="51" applyFont="1" applyFill="1" applyBorder="1" applyAlignment="1">
      <alignment horizontal="right"/>
      <protection/>
    </xf>
    <xf numFmtId="1" fontId="10" fillId="18" borderId="12" xfId="55" applyNumberFormat="1" applyFont="1" applyFill="1" applyBorder="1" applyAlignment="1">
      <alignment horizontal="left"/>
    </xf>
    <xf numFmtId="179" fontId="10" fillId="0" borderId="0" xfId="51" applyNumberFormat="1" applyFont="1" applyFill="1">
      <alignment/>
      <protection/>
    </xf>
    <xf numFmtId="9" fontId="10" fillId="20" borderId="0" xfId="51" applyNumberFormat="1" applyFont="1" applyFill="1">
      <alignment/>
      <protection/>
    </xf>
    <xf numFmtId="0" fontId="10" fillId="0" borderId="0" xfId="51" applyFont="1" applyAlignment="1">
      <alignment horizontal="right"/>
      <protection/>
    </xf>
    <xf numFmtId="179" fontId="10" fillId="20" borderId="0" xfId="51" applyNumberFormat="1" applyFont="1" applyFill="1">
      <alignment/>
      <protection/>
    </xf>
    <xf numFmtId="9" fontId="10" fillId="21" borderId="0" xfId="51" applyNumberFormat="1" applyFont="1" applyFill="1">
      <alignment/>
      <protection/>
    </xf>
    <xf numFmtId="0" fontId="10" fillId="0" borderId="0" xfId="51" applyFont="1" applyAlignment="1">
      <alignment horizontal="left" indent="1"/>
      <protection/>
    </xf>
    <xf numFmtId="1" fontId="9" fillId="0" borderId="0" xfId="51" applyNumberFormat="1" applyFont="1">
      <alignment/>
      <protection/>
    </xf>
    <xf numFmtId="0" fontId="9" fillId="0" borderId="22" xfId="51" applyFont="1" applyBorder="1">
      <alignment/>
      <protection/>
    </xf>
    <xf numFmtId="0" fontId="9" fillId="0" borderId="0" xfId="51" applyFont="1" applyAlignment="1">
      <alignment horizontal="left" indent="1"/>
      <protection/>
    </xf>
    <xf numFmtId="1" fontId="6" fillId="0" borderId="0" xfId="51" applyNumberFormat="1" applyFont="1" applyAlignment="1">
      <alignment horizontal="center"/>
      <protection/>
    </xf>
    <xf numFmtId="1" fontId="6" fillId="0" borderId="10" xfId="51" applyNumberFormat="1" applyFont="1" applyBorder="1" applyAlignment="1">
      <alignment horizontal="center"/>
      <protection/>
    </xf>
    <xf numFmtId="0" fontId="9" fillId="0" borderId="0" xfId="51" applyFont="1" applyAlignment="1">
      <alignment horizontal="left" indent="3"/>
      <protection/>
    </xf>
    <xf numFmtId="1" fontId="9" fillId="0" borderId="0" xfId="51" applyNumberFormat="1" applyFont="1" applyAlignment="1">
      <alignment/>
      <protection/>
    </xf>
    <xf numFmtId="0" fontId="25" fillId="0" borderId="0" xfId="51" applyFont="1">
      <alignment/>
      <protection/>
    </xf>
    <xf numFmtId="0" fontId="9" fillId="20" borderId="0" xfId="51" applyFont="1" applyFill="1">
      <alignment/>
      <protection/>
    </xf>
    <xf numFmtId="0" fontId="5" fillId="22" borderId="22" xfId="51" applyFont="1" applyFill="1" applyBorder="1" applyAlignment="1">
      <alignment horizontal="center"/>
      <protection/>
    </xf>
    <xf numFmtId="0" fontId="10" fillId="22" borderId="22" xfId="51" applyFont="1" applyFill="1" applyBorder="1">
      <alignment/>
      <protection/>
    </xf>
    <xf numFmtId="0" fontId="10" fillId="22" borderId="23" xfId="51" applyFont="1" applyFill="1" applyBorder="1" applyAlignment="1">
      <alignment horizontal="left" indent="1"/>
      <protection/>
    </xf>
    <xf numFmtId="174" fontId="9" fillId="0" borderId="0" xfId="51" applyNumberFormat="1" applyFont="1" applyAlignment="1">
      <alignment horizontal="center"/>
      <protection/>
    </xf>
    <xf numFmtId="9" fontId="9" fillId="0" borderId="0" xfId="51" applyNumberFormat="1" applyFont="1" applyAlignment="1">
      <alignment horizontal="center"/>
      <protection/>
    </xf>
    <xf numFmtId="1" fontId="9" fillId="0" borderId="0" xfId="51" applyNumberFormat="1" applyFont="1" applyAlignment="1">
      <alignment horizontal="center"/>
      <protection/>
    </xf>
    <xf numFmtId="174" fontId="9" fillId="0" borderId="22" xfId="51" applyNumberFormat="1" applyFont="1" applyBorder="1" applyAlignment="1">
      <alignment horizontal="center"/>
      <protection/>
    </xf>
    <xf numFmtId="9" fontId="9" fillId="0" borderId="0" xfId="57" applyFont="1" applyFill="1" applyBorder="1" applyAlignment="1" applyProtection="1">
      <alignment horizontal="center"/>
      <protection/>
    </xf>
    <xf numFmtId="9" fontId="9" fillId="0" borderId="22" xfId="57" applyFont="1" applyFill="1" applyBorder="1" applyAlignment="1" applyProtection="1">
      <alignment horizontal="center"/>
      <protection/>
    </xf>
    <xf numFmtId="1" fontId="9" fillId="0" borderId="22" xfId="51" applyNumberFormat="1" applyFont="1" applyBorder="1" applyAlignment="1">
      <alignment horizontal="center"/>
      <protection/>
    </xf>
    <xf numFmtId="1" fontId="9" fillId="0" borderId="22" xfId="51" applyNumberFormat="1" applyFont="1" applyBorder="1">
      <alignment/>
      <protection/>
    </xf>
    <xf numFmtId="0" fontId="10" fillId="18" borderId="22" xfId="51" applyFont="1" applyFill="1" applyBorder="1">
      <alignment/>
      <protection/>
    </xf>
    <xf numFmtId="174" fontId="9" fillId="0" borderId="0" xfId="57" applyNumberFormat="1" applyFont="1" applyFill="1" applyBorder="1" applyAlignment="1" applyProtection="1">
      <alignment horizontal="center"/>
      <protection/>
    </xf>
    <xf numFmtId="0" fontId="10" fillId="18" borderId="0" xfId="51" applyFont="1" applyFill="1" applyAlignment="1">
      <alignment horizontal="center"/>
      <protection/>
    </xf>
    <xf numFmtId="0" fontId="10" fillId="18" borderId="0" xfId="51" applyFont="1" applyFill="1">
      <alignment/>
      <protection/>
    </xf>
    <xf numFmtId="0" fontId="9" fillId="0" borderId="22" xfId="51" applyFont="1" applyBorder="1" applyAlignment="1">
      <alignment horizontal="center"/>
      <protection/>
    </xf>
    <xf numFmtId="9" fontId="10" fillId="23" borderId="0" xfId="51" applyNumberFormat="1" applyFont="1" applyFill="1" applyAlignment="1">
      <alignment horizontal="center"/>
      <protection/>
    </xf>
    <xf numFmtId="0" fontId="10" fillId="0" borderId="0" xfId="51" applyFont="1" applyAlignment="1">
      <alignment horizontal="center"/>
      <protection/>
    </xf>
    <xf numFmtId="9" fontId="18" fillId="0" borderId="0" xfId="57" applyFont="1" applyAlignment="1">
      <alignment/>
    </xf>
    <xf numFmtId="9" fontId="18" fillId="0" borderId="0" xfId="57" applyFont="1" applyAlignment="1">
      <alignment horizontal="right"/>
    </xf>
    <xf numFmtId="1" fontId="6" fillId="0" borderId="0" xfId="51" applyNumberFormat="1" applyFont="1">
      <alignment/>
      <protection/>
    </xf>
    <xf numFmtId="1" fontId="5" fillId="18" borderId="0" xfId="51" applyNumberFormat="1" applyFont="1" applyFill="1">
      <alignment/>
      <protection/>
    </xf>
    <xf numFmtId="175" fontId="9" fillId="0" borderId="22" xfId="51" applyNumberFormat="1" applyFont="1" applyBorder="1">
      <alignment/>
      <protection/>
    </xf>
    <xf numFmtId="0" fontId="10" fillId="23" borderId="0" xfId="51" applyFont="1" applyFill="1" applyAlignment="1">
      <alignment horizontal="center"/>
      <protection/>
    </xf>
    <xf numFmtId="0" fontId="9" fillId="0" borderId="0" xfId="51" applyFont="1" applyAlignment="1">
      <alignment horizontal="left" indent="2"/>
      <protection/>
    </xf>
    <xf numFmtId="0" fontId="10" fillId="23" borderId="23" xfId="51" applyFont="1" applyFill="1" applyBorder="1" applyAlignment="1">
      <alignment horizontal="right"/>
      <protection/>
    </xf>
    <xf numFmtId="9" fontId="18" fillId="0" borderId="0" xfId="51" applyNumberFormat="1" applyFont="1" applyAlignment="1">
      <alignment horizontal="center"/>
      <protection/>
    </xf>
    <xf numFmtId="0" fontId="26" fillId="0" borderId="0" xfId="51" applyFont="1" applyAlignment="1">
      <alignment horizontal="center"/>
      <protection/>
    </xf>
    <xf numFmtId="0" fontId="12" fillId="0" borderId="0" xfId="51" applyFont="1">
      <alignment/>
      <protection/>
    </xf>
    <xf numFmtId="9" fontId="12" fillId="11" borderId="0" xfId="51" applyNumberFormat="1" applyFont="1" applyFill="1" applyAlignment="1">
      <alignment horizontal="center"/>
      <protection/>
    </xf>
    <xf numFmtId="0" fontId="12" fillId="11" borderId="0" xfId="51" applyFont="1" applyFill="1" applyAlignment="1">
      <alignment horizontal="righ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urrency" xfId="38"/>
    <cellStyle name="Encabezado 4" xfId="39"/>
    <cellStyle name="Énfasis1" xfId="40"/>
    <cellStyle name="Énfasis2" xfId="41"/>
    <cellStyle name="Énfasis3" xfId="42"/>
    <cellStyle name="Énfasis4" xfId="43"/>
    <cellStyle name="Énfasis5" xfId="44"/>
    <cellStyle name="Énfasis6" xfId="45"/>
    <cellStyle name="Entrada" xfId="46"/>
    <cellStyle name="Followed Hyperlink" xfId="47"/>
    <cellStyle name="Hyperlink" xfId="48"/>
    <cellStyle name="Incorrecto" xfId="49"/>
    <cellStyle name="Neutral" xfId="50"/>
    <cellStyle name="Normal 2" xfId="51"/>
    <cellStyle name="Notas" xfId="52"/>
    <cellStyle name="Percent" xfId="53"/>
    <cellStyle name="Porcentual 2" xfId="54"/>
    <cellStyle name="Porcentual 2 2" xfId="55"/>
    <cellStyle name="Porcentual 3" xfId="56"/>
    <cellStyle name="Porcentual 4"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6"/>
  <sheetViews>
    <sheetView showGridLines="0" tabSelected="1" view="pageBreakPreview" zoomScale="120" zoomScaleSheetLayoutView="120" zoomScalePageLayoutView="0" workbookViewId="0" topLeftCell="A1">
      <selection activeCell="O3" sqref="O3"/>
    </sheetView>
  </sheetViews>
  <sheetFormatPr defaultColWidth="9.125" defaultRowHeight="13.5" customHeight="1"/>
  <cols>
    <col min="1" max="1" width="4.00390625" style="3" customWidth="1"/>
    <col min="2" max="2" width="20.00390625" style="3" customWidth="1"/>
    <col min="3" max="3" width="5.125" style="4" customWidth="1"/>
    <col min="4" max="4" width="5.25390625" style="3" customWidth="1"/>
    <col min="5" max="9" width="7.875" style="3" customWidth="1"/>
    <col min="10" max="10" width="8.875" style="3" customWidth="1"/>
    <col min="11" max="11" width="7.875" style="3" customWidth="1"/>
    <col min="12" max="12" width="5.375" style="3" customWidth="1"/>
    <col min="13" max="13" width="4.75390625" style="3" customWidth="1"/>
    <col min="14" max="14" width="6.75390625" style="3" customWidth="1"/>
    <col min="15" max="15" width="6.875" style="3" customWidth="1"/>
    <col min="16" max="16" width="9.125" style="3" customWidth="1"/>
    <col min="17" max="18" width="5.25390625" style="3" customWidth="1"/>
    <col min="19" max="16384" width="9.125" style="3" customWidth="1"/>
  </cols>
  <sheetData>
    <row r="1" spans="6:10" ht="24" customHeight="1">
      <c r="F1" s="5" t="s">
        <v>193</v>
      </c>
      <c r="I1" s="6"/>
      <c r="J1" s="7"/>
    </row>
    <row r="2" spans="7:10" ht="18" customHeight="1">
      <c r="G2" s="5"/>
      <c r="I2" s="6"/>
      <c r="J2" s="7"/>
    </row>
    <row r="3" spans="2:11" ht="13.5" customHeight="1">
      <c r="B3" s="8"/>
      <c r="C3" s="9"/>
      <c r="D3" s="10"/>
      <c r="E3" s="142" t="s">
        <v>74</v>
      </c>
      <c r="F3" s="143"/>
      <c r="G3" s="10"/>
      <c r="H3" s="10"/>
      <c r="I3" s="11" t="s">
        <v>72</v>
      </c>
      <c r="J3" s="10"/>
      <c r="K3" s="10"/>
    </row>
    <row r="4" spans="2:14" ht="13.5" customHeight="1" thickBot="1">
      <c r="B4" s="89" t="s">
        <v>96</v>
      </c>
      <c r="C4" s="3"/>
      <c r="D4" s="12" t="s">
        <v>28</v>
      </c>
      <c r="E4" s="71">
        <v>2006</v>
      </c>
      <c r="F4" s="13"/>
      <c r="G4" s="71">
        <f>E4+1</f>
        <v>2007</v>
      </c>
      <c r="H4" s="71">
        <f>G4+1</f>
        <v>2008</v>
      </c>
      <c r="I4" s="71">
        <f>H4+1</f>
        <v>2009</v>
      </c>
      <c r="J4" s="71">
        <f>I4+1</f>
        <v>2010</v>
      </c>
      <c r="K4" s="13"/>
      <c r="L4" s="13"/>
      <c r="N4" s="14"/>
    </row>
    <row r="5" spans="2:16" ht="13.5" customHeight="1">
      <c r="B5" s="15" t="s">
        <v>0</v>
      </c>
      <c r="C5" s="158">
        <v>200</v>
      </c>
      <c r="D5" s="17" t="s">
        <v>29</v>
      </c>
      <c r="E5" s="148">
        <v>200</v>
      </c>
      <c r="F5" s="19"/>
      <c r="G5" s="18">
        <f>C5</f>
        <v>200</v>
      </c>
      <c r="H5" s="18">
        <f>G5*(1+H19)</f>
        <v>220.00000000000003</v>
      </c>
      <c r="I5" s="18">
        <f>H5*(1+I19)</f>
        <v>242.00000000000006</v>
      </c>
      <c r="J5" s="18">
        <f>I5*(1+J19)</f>
        <v>266.2000000000001</v>
      </c>
      <c r="K5" s="38"/>
      <c r="L5" s="19"/>
      <c r="M5" s="20"/>
      <c r="N5" s="14"/>
      <c r="O5" s="21"/>
      <c r="P5" s="22"/>
    </row>
    <row r="6" spans="2:16" ht="13.5" customHeight="1">
      <c r="B6" s="23" t="s">
        <v>11</v>
      </c>
      <c r="C6" s="271"/>
      <c r="D6" s="17"/>
      <c r="E6" s="49">
        <v>162</v>
      </c>
      <c r="F6" s="19"/>
      <c r="G6" s="265">
        <f>(G5-G7)</f>
        <v>160</v>
      </c>
      <c r="H6" s="265">
        <f>(H5-H7)</f>
        <v>178.20000000000002</v>
      </c>
      <c r="I6" s="265">
        <f>(I5-I7)</f>
        <v>198.44000000000005</v>
      </c>
      <c r="J6" s="265">
        <f>(J5-J7)</f>
        <v>220.94600000000008</v>
      </c>
      <c r="K6" s="260"/>
      <c r="L6" s="263"/>
      <c r="M6" s="14"/>
      <c r="N6" s="14"/>
      <c r="O6" s="27"/>
      <c r="P6" s="22"/>
    </row>
    <row r="7" spans="2:16" ht="13.5" customHeight="1">
      <c r="B7" s="15" t="s">
        <v>30</v>
      </c>
      <c r="C7" s="16"/>
      <c r="D7" s="17" t="s">
        <v>31</v>
      </c>
      <c r="E7" s="38">
        <f>E5-E6</f>
        <v>38</v>
      </c>
      <c r="F7" s="19"/>
      <c r="G7" s="18">
        <f>G5*G20</f>
        <v>40</v>
      </c>
      <c r="H7" s="18">
        <f>H5*H20</f>
        <v>41.800000000000004</v>
      </c>
      <c r="I7" s="18">
        <f>I5*I20</f>
        <v>43.56000000000001</v>
      </c>
      <c r="J7" s="18">
        <f>J5*J20</f>
        <v>45.25400000000001</v>
      </c>
      <c r="K7" s="38"/>
      <c r="L7" s="19"/>
      <c r="M7" s="28"/>
      <c r="N7" s="29"/>
      <c r="O7" s="21"/>
      <c r="P7" s="22"/>
    </row>
    <row r="8" spans="2:16" ht="13.5" customHeight="1">
      <c r="B8" s="23" t="s">
        <v>73</v>
      </c>
      <c r="C8" s="270">
        <v>0.05</v>
      </c>
      <c r="D8" s="17"/>
      <c r="E8" s="38">
        <f>C$8*E5</f>
        <v>10</v>
      </c>
      <c r="F8" s="19"/>
      <c r="G8" s="18">
        <f>$C8*G5</f>
        <v>10</v>
      </c>
      <c r="H8" s="18">
        <f>$C8*H5</f>
        <v>11.000000000000002</v>
      </c>
      <c r="I8" s="18">
        <f>$C8*I5</f>
        <v>12.100000000000003</v>
      </c>
      <c r="J8" s="18">
        <f>$C8*J5</f>
        <v>13.310000000000006</v>
      </c>
      <c r="K8" s="38"/>
      <c r="L8" s="19"/>
      <c r="M8" s="28"/>
      <c r="N8" s="29"/>
      <c r="O8" s="21"/>
      <c r="P8" s="22"/>
    </row>
    <row r="9" spans="2:16" ht="13.5" customHeight="1">
      <c r="B9" s="23" t="s">
        <v>32</v>
      </c>
      <c r="C9" s="269">
        <v>4</v>
      </c>
      <c r="D9" s="17" t="s">
        <v>33</v>
      </c>
      <c r="E9" s="49">
        <v>8</v>
      </c>
      <c r="F9" s="19"/>
      <c r="G9" s="266">
        <f>C9</f>
        <v>4</v>
      </c>
      <c r="H9" s="266">
        <f>G9*(1+H21)</f>
        <v>4.12</v>
      </c>
      <c r="I9" s="266">
        <f>H9*(1+I21)</f>
        <v>4.2436</v>
      </c>
      <c r="J9" s="266">
        <f>I9*(1+J21)</f>
        <v>4.370908</v>
      </c>
      <c r="K9" s="263"/>
      <c r="L9" s="263"/>
      <c r="M9" s="28"/>
      <c r="N9" s="14"/>
      <c r="O9" s="14"/>
      <c r="P9" s="32"/>
    </row>
    <row r="10" spans="2:16" ht="13.5" customHeight="1">
      <c r="B10" s="15" t="s">
        <v>7</v>
      </c>
      <c r="C10" s="33"/>
      <c r="D10" s="17"/>
      <c r="E10" s="38">
        <f>E7-E8-E9</f>
        <v>20</v>
      </c>
      <c r="F10" s="19"/>
      <c r="G10" s="260">
        <f>G7-G8-G9</f>
        <v>26</v>
      </c>
      <c r="H10" s="260">
        <f>H7-H8-H9</f>
        <v>26.680000000000003</v>
      </c>
      <c r="I10" s="260">
        <f>I7-I8-I9</f>
        <v>27.216400000000007</v>
      </c>
      <c r="J10" s="260">
        <f>J7-J8-J9</f>
        <v>27.573092000000006</v>
      </c>
      <c r="K10" s="260"/>
      <c r="L10" s="263"/>
      <c r="M10" s="32"/>
      <c r="N10" s="14"/>
      <c r="O10" s="27"/>
      <c r="P10" s="22"/>
    </row>
    <row r="11" spans="2:16" ht="13.5" customHeight="1">
      <c r="B11" s="23" t="s">
        <v>12</v>
      </c>
      <c r="C11" s="268">
        <v>2</v>
      </c>
      <c r="D11" s="17" t="s">
        <v>33</v>
      </c>
      <c r="E11" s="49">
        <v>5</v>
      </c>
      <c r="F11" s="19"/>
      <c r="G11" s="265">
        <f>C11</f>
        <v>2</v>
      </c>
      <c r="H11" s="265">
        <f>$C11</f>
        <v>2</v>
      </c>
      <c r="I11" s="265">
        <f>$C11</f>
        <v>2</v>
      </c>
      <c r="J11" s="265">
        <f>$C11</f>
        <v>2</v>
      </c>
      <c r="K11" s="260"/>
      <c r="L11" s="263"/>
      <c r="M11" s="32"/>
      <c r="N11" s="14"/>
      <c r="O11" s="21"/>
      <c r="P11" s="267"/>
    </row>
    <row r="12" spans="2:16" ht="13.5" customHeight="1">
      <c r="B12" s="15" t="s">
        <v>36</v>
      </c>
      <c r="C12" s="16"/>
      <c r="D12" s="37"/>
      <c r="E12" s="38">
        <f>E10-E11</f>
        <v>15</v>
      </c>
      <c r="F12" s="19"/>
      <c r="G12" s="38">
        <f>G10-G11</f>
        <v>24</v>
      </c>
      <c r="H12" s="38">
        <f>H10-H11</f>
        <v>24.680000000000003</v>
      </c>
      <c r="I12" s="38">
        <f>I10-I11</f>
        <v>25.216400000000007</v>
      </c>
      <c r="J12" s="38">
        <f>J10-J11</f>
        <v>25.573092000000006</v>
      </c>
      <c r="K12" s="38"/>
      <c r="L12" s="19"/>
      <c r="M12" s="32"/>
      <c r="N12" s="14"/>
      <c r="O12" s="27"/>
      <c r="P12" s="22"/>
    </row>
    <row r="13" spans="2:16" s="4" customFormat="1" ht="13.5" customHeight="1">
      <c r="B13" s="39" t="s">
        <v>37</v>
      </c>
      <c r="C13" s="257">
        <v>0.1</v>
      </c>
      <c r="D13" s="17" t="s">
        <v>34</v>
      </c>
      <c r="E13" s="49">
        <v>2.5</v>
      </c>
      <c r="F13" s="19"/>
      <c r="G13" s="266">
        <f>$C13*E33</f>
        <v>2.5</v>
      </c>
      <c r="H13" s="266">
        <f>$C13*G33</f>
        <v>3.4950000000000006</v>
      </c>
      <c r="I13" s="266">
        <f>$C13*H33</f>
        <v>2.4120499999999994</v>
      </c>
      <c r="J13" s="266">
        <f>$C13*I33</f>
        <v>1.255745499999999</v>
      </c>
      <c r="K13" s="263"/>
      <c r="L13" s="263"/>
      <c r="M13" s="40"/>
      <c r="N13" s="41"/>
      <c r="O13" s="21"/>
      <c r="P13" s="22"/>
    </row>
    <row r="14" spans="2:16" ht="13.5" customHeight="1">
      <c r="B14" s="15" t="s">
        <v>17</v>
      </c>
      <c r="C14" s="16"/>
      <c r="D14" s="42"/>
      <c r="E14" s="38">
        <f>E12-E13</f>
        <v>12.5</v>
      </c>
      <c r="F14" s="19"/>
      <c r="G14" s="38">
        <f>G12-G13</f>
        <v>21.5</v>
      </c>
      <c r="H14" s="38">
        <f>H12-H13</f>
        <v>21.185000000000002</v>
      </c>
      <c r="I14" s="38">
        <f>I12-I13</f>
        <v>22.804350000000007</v>
      </c>
      <c r="J14" s="38">
        <f>J12-J13</f>
        <v>24.317346500000006</v>
      </c>
      <c r="K14" s="38"/>
      <c r="L14" s="19"/>
      <c r="M14" s="38"/>
      <c r="N14" s="14"/>
      <c r="O14" s="27"/>
      <c r="P14" s="22"/>
    </row>
    <row r="15" spans="2:16" ht="13.5" customHeight="1">
      <c r="B15" s="23" t="s">
        <v>1</v>
      </c>
      <c r="C15" s="251">
        <v>0.3</v>
      </c>
      <c r="D15" s="17" t="s">
        <v>34</v>
      </c>
      <c r="E15" s="49">
        <f>C15*E14</f>
        <v>3.75</v>
      </c>
      <c r="F15" s="19"/>
      <c r="G15" s="265">
        <f>$C$15*G14</f>
        <v>6.45</v>
      </c>
      <c r="H15" s="265">
        <f>$C$15*H14</f>
        <v>6.3555</v>
      </c>
      <c r="I15" s="265">
        <f>$C$15*I14</f>
        <v>6.841305000000002</v>
      </c>
      <c r="J15" s="265">
        <f>$C$15*J14</f>
        <v>7.295203950000001</v>
      </c>
      <c r="K15" s="260"/>
      <c r="L15" s="263"/>
      <c r="M15" s="260"/>
      <c r="N15" s="14"/>
      <c r="O15" s="149"/>
      <c r="P15" s="22"/>
    </row>
    <row r="16" spans="2:16" ht="13.5" customHeight="1">
      <c r="B16" s="15" t="s">
        <v>39</v>
      </c>
      <c r="C16" s="18"/>
      <c r="D16" s="37"/>
      <c r="E16" s="38">
        <f>E14-E15</f>
        <v>8.75</v>
      </c>
      <c r="F16" s="19"/>
      <c r="G16" s="264">
        <f>G14-G15</f>
        <v>15.05</v>
      </c>
      <c r="H16" s="264">
        <f>H14-H15</f>
        <v>14.829500000000003</v>
      </c>
      <c r="I16" s="264">
        <f>I14-I15</f>
        <v>15.963045000000005</v>
      </c>
      <c r="J16" s="264">
        <f>J14-J15</f>
        <v>17.022142550000005</v>
      </c>
      <c r="K16" s="260"/>
      <c r="L16" s="263"/>
      <c r="M16" s="260"/>
      <c r="N16" s="14"/>
      <c r="O16" s="21"/>
      <c r="P16" s="45"/>
    </row>
    <row r="17" spans="2:16" ht="15.75" customHeight="1">
      <c r="B17" s="15"/>
      <c r="C17" s="18"/>
      <c r="D17" s="37"/>
      <c r="E17" s="38"/>
      <c r="F17" s="38"/>
      <c r="G17" s="262"/>
      <c r="H17" s="262"/>
      <c r="I17" s="262"/>
      <c r="J17" s="262"/>
      <c r="K17" s="261"/>
      <c r="L17" s="260"/>
      <c r="M17" s="14"/>
      <c r="N17" s="14"/>
      <c r="P17" s="22"/>
    </row>
    <row r="18" spans="2:16" ht="13.5" customHeight="1" thickBot="1">
      <c r="B18" s="183" t="s">
        <v>40</v>
      </c>
      <c r="C18" s="184"/>
      <c r="D18" s="47"/>
      <c r="E18" s="259"/>
      <c r="F18" s="258"/>
      <c r="G18" s="49"/>
      <c r="H18" s="50"/>
      <c r="I18" s="51" t="s">
        <v>41</v>
      </c>
      <c r="J18" s="49"/>
      <c r="K18" s="177" t="s">
        <v>42</v>
      </c>
      <c r="M18" s="14"/>
      <c r="N18" s="14"/>
      <c r="O18" s="43"/>
      <c r="P18" s="22"/>
    </row>
    <row r="19" spans="2:18" ht="13.5" customHeight="1">
      <c r="B19" s="52" t="s">
        <v>43</v>
      </c>
      <c r="C19" s="257">
        <v>0.1</v>
      </c>
      <c r="D19" s="17" t="s">
        <v>29</v>
      </c>
      <c r="E19" s="256">
        <v>0.16412852208294407</v>
      </c>
      <c r="F19" s="242"/>
      <c r="G19" s="249" t="s">
        <v>10</v>
      </c>
      <c r="H19" s="250">
        <f>C19</f>
        <v>0.1</v>
      </c>
      <c r="I19" s="250">
        <f>H19</f>
        <v>0.1</v>
      </c>
      <c r="J19" s="250">
        <f>I19</f>
        <v>0.1</v>
      </c>
      <c r="K19" s="53">
        <f>AVERAGE(G19:K19)</f>
        <v>0.10000000000000002</v>
      </c>
      <c r="M19" s="14"/>
      <c r="N19" s="255" t="s">
        <v>77</v>
      </c>
      <c r="O19" s="4" t="s">
        <v>78</v>
      </c>
      <c r="P19" s="4" t="s">
        <v>79</v>
      </c>
      <c r="Q19" s="94" t="s">
        <v>80</v>
      </c>
      <c r="R19" s="4" t="s">
        <v>81</v>
      </c>
    </row>
    <row r="20" spans="2:20" ht="13.5" customHeight="1">
      <c r="B20" s="52" t="s">
        <v>44</v>
      </c>
      <c r="C20" s="251">
        <v>-0.01</v>
      </c>
      <c r="D20" s="17" t="s">
        <v>31</v>
      </c>
      <c r="E20" s="254">
        <f>E7/E5</f>
        <v>0.19</v>
      </c>
      <c r="F20" s="254"/>
      <c r="G20" s="253">
        <v>0.2</v>
      </c>
      <c r="H20" s="252">
        <f>G20+$C20</f>
        <v>0.19</v>
      </c>
      <c r="I20" s="252">
        <f>H20+$C20</f>
        <v>0.18</v>
      </c>
      <c r="J20" s="252">
        <f>I20+$C20</f>
        <v>0.16999999999999998</v>
      </c>
      <c r="K20" s="53">
        <f>AVERAGE(G20:K20)</f>
        <v>0.185</v>
      </c>
      <c r="M20" s="14"/>
      <c r="N20" s="29">
        <f>O20+P20*(Q20-R20)</f>
        <v>0.2314814814814815</v>
      </c>
      <c r="O20" s="248">
        <f>E25</f>
        <v>0.189873417721519</v>
      </c>
      <c r="P20" s="248">
        <f>E33/E34</f>
        <v>0.46296296296296297</v>
      </c>
      <c r="Q20" s="248">
        <f>O20</f>
        <v>0.189873417721519</v>
      </c>
      <c r="R20" s="248">
        <f>C13</f>
        <v>0.1</v>
      </c>
      <c r="S20" s="246" t="s">
        <v>82</v>
      </c>
      <c r="T20" s="248"/>
    </row>
    <row r="21" spans="2:19" ht="13.5" customHeight="1">
      <c r="B21" s="52" t="s">
        <v>76</v>
      </c>
      <c r="C21" s="251">
        <v>0.03</v>
      </c>
      <c r="D21" s="17" t="s">
        <v>33</v>
      </c>
      <c r="E21" s="245">
        <v>0.05</v>
      </c>
      <c r="F21" s="245"/>
      <c r="G21" s="250">
        <f>C21</f>
        <v>0.03</v>
      </c>
      <c r="H21" s="250">
        <f>G21</f>
        <v>0.03</v>
      </c>
      <c r="I21" s="250">
        <f>H21</f>
        <v>0.03</v>
      </c>
      <c r="J21" s="250">
        <f>I21</f>
        <v>0.03</v>
      </c>
      <c r="K21" s="249"/>
      <c r="M21" s="14"/>
      <c r="N21" s="29">
        <f>O21+P21*(Q21-R21)</f>
        <v>0.16203703703703703</v>
      </c>
      <c r="O21" s="247">
        <f>O20*0.7</f>
        <v>0.13291139240506328</v>
      </c>
      <c r="P21" s="7">
        <f>P20</f>
        <v>0.46296296296296297</v>
      </c>
      <c r="Q21" s="248">
        <f>O21</f>
        <v>0.13291139240506328</v>
      </c>
      <c r="R21" s="247">
        <f>R20*0.7</f>
        <v>0.06999999999999999</v>
      </c>
      <c r="S21" s="246" t="s">
        <v>83</v>
      </c>
    </row>
    <row r="22" spans="2:14" ht="13.5" customHeight="1">
      <c r="B22" s="52" t="s">
        <v>45</v>
      </c>
      <c r="C22" s="57"/>
      <c r="D22" s="242"/>
      <c r="E22" s="245">
        <f>E10/E5</f>
        <v>0.1</v>
      </c>
      <c r="F22" s="245"/>
      <c r="G22" s="244">
        <f>G10/G5</f>
        <v>0.13</v>
      </c>
      <c r="H22" s="244">
        <f>H10/H5</f>
        <v>0.12127272727272727</v>
      </c>
      <c r="I22" s="244">
        <f>I10/I5</f>
        <v>0.11246446280991736</v>
      </c>
      <c r="J22" s="244">
        <f>J10/J5</f>
        <v>0.10358036063110442</v>
      </c>
      <c r="K22" s="241"/>
      <c r="M22" s="14"/>
      <c r="N22" s="14"/>
    </row>
    <row r="23" spans="2:14" ht="13.5" customHeight="1">
      <c r="B23" s="52" t="s">
        <v>46</v>
      </c>
      <c r="C23" s="57"/>
      <c r="D23" s="57"/>
      <c r="E23" s="242">
        <f>E16/E5</f>
        <v>0.04375</v>
      </c>
      <c r="F23" s="242"/>
      <c r="G23" s="243">
        <f>G16/G5</f>
        <v>0.07525</v>
      </c>
      <c r="H23" s="243">
        <f>H16/H5</f>
        <v>0.06740681818181819</v>
      </c>
      <c r="I23" s="243">
        <f>I16/I5</f>
        <v>0.0659629958677686</v>
      </c>
      <c r="J23" s="243">
        <f>J16/J5</f>
        <v>0.06394493820435762</v>
      </c>
      <c r="K23" s="53">
        <f>AVERAGE(G23:K23)</f>
        <v>0.0681411880634861</v>
      </c>
      <c r="M23" s="14"/>
      <c r="N23" s="14"/>
    </row>
    <row r="24" spans="2:16" ht="13.5" customHeight="1">
      <c r="B24" s="52" t="s">
        <v>47</v>
      </c>
      <c r="C24" s="18"/>
      <c r="D24" s="33"/>
      <c r="E24" s="242">
        <f>E16/(E34-E16)</f>
        <v>0.19337016574585636</v>
      </c>
      <c r="F24" s="242"/>
      <c r="G24" s="243">
        <f>G16/G34</f>
        <v>0.6007984031936128</v>
      </c>
      <c r="H24" s="243">
        <f>H16/H34</f>
        <v>0.37185772138567436</v>
      </c>
      <c r="I24" s="243">
        <f>I16/I34</f>
        <v>0.28585812125862103</v>
      </c>
      <c r="J24" s="243">
        <f>J16/J34</f>
        <v>0.23361305897756507</v>
      </c>
      <c r="K24" s="53">
        <f>AVERAGE(G24:K24)</f>
        <v>0.3730318262038683</v>
      </c>
      <c r="M24" s="14"/>
      <c r="N24" s="14"/>
      <c r="P24" s="7"/>
    </row>
    <row r="25" spans="2:16" ht="13.5" customHeight="1">
      <c r="B25" s="52" t="s">
        <v>75</v>
      </c>
      <c r="C25" s="18"/>
      <c r="D25" s="33"/>
      <c r="E25" s="242">
        <f>E12/E31</f>
        <v>0.189873417721519</v>
      </c>
      <c r="F25" s="242"/>
      <c r="G25" s="242">
        <f>G12/G31</f>
        <v>0.4</v>
      </c>
      <c r="H25" s="242">
        <f>H12/H31</f>
        <v>0.38562500000000005</v>
      </c>
      <c r="I25" s="242">
        <f>I12/I31</f>
        <v>0.36866081871345036</v>
      </c>
      <c r="J25" s="242" t="s">
        <v>10</v>
      </c>
      <c r="K25" s="53">
        <f>AVERAGE(G25:K25)</f>
        <v>0.3847619395711501</v>
      </c>
      <c r="M25" s="14"/>
      <c r="N25" s="14"/>
      <c r="P25" s="7"/>
    </row>
    <row r="26" spans="2:16" ht="13.5" customHeight="1">
      <c r="B26" s="52"/>
      <c r="C26" s="18"/>
      <c r="D26" s="33"/>
      <c r="E26" s="242"/>
      <c r="F26" s="242"/>
      <c r="G26" s="242"/>
      <c r="H26" s="242"/>
      <c r="I26" s="242"/>
      <c r="J26" s="242"/>
      <c r="K26" s="242"/>
      <c r="L26" s="241"/>
      <c r="M26" s="14"/>
      <c r="N26" s="14"/>
      <c r="P26" s="7"/>
    </row>
    <row r="27" spans="2:15" ht="13.5" customHeight="1">
      <c r="B27" s="52"/>
      <c r="C27" s="65"/>
      <c r="D27" s="66"/>
      <c r="E27" s="142" t="s">
        <v>74</v>
      </c>
      <c r="F27" s="146"/>
      <c r="G27" s="66"/>
      <c r="H27" s="67" t="str">
        <f>I3</f>
        <v>Laptops Previsión</v>
      </c>
      <c r="J27" s="66"/>
      <c r="K27" s="66"/>
      <c r="L27" s="68"/>
      <c r="M27" s="14"/>
      <c r="N27" s="14"/>
      <c r="O27" s="69"/>
    </row>
    <row r="28" spans="2:18" ht="13.5" customHeight="1" thickBot="1">
      <c r="B28" s="182" t="s">
        <v>132</v>
      </c>
      <c r="C28" s="70"/>
      <c r="D28" s="12" t="s">
        <v>28</v>
      </c>
      <c r="E28" s="164">
        <f>E4</f>
        <v>2006</v>
      </c>
      <c r="F28" s="71">
        <f>E28</f>
        <v>2006</v>
      </c>
      <c r="G28" s="71">
        <f>G4</f>
        <v>2007</v>
      </c>
      <c r="H28" s="71">
        <f>H4</f>
        <v>2008</v>
      </c>
      <c r="I28" s="71">
        <f>I4</f>
        <v>2009</v>
      </c>
      <c r="J28" s="71">
        <f>J4</f>
        <v>2010</v>
      </c>
      <c r="K28" s="72"/>
      <c r="L28" s="72"/>
      <c r="M28" s="28"/>
      <c r="N28" s="14"/>
      <c r="O28" s="73"/>
      <c r="P28" s="74"/>
      <c r="Q28" s="13"/>
      <c r="R28" s="75"/>
    </row>
    <row r="29" spans="2:18" ht="13.5" customHeight="1">
      <c r="B29" s="23" t="s">
        <v>2</v>
      </c>
      <c r="C29" s="240">
        <v>0.2</v>
      </c>
      <c r="D29" s="17" t="s">
        <v>35</v>
      </c>
      <c r="E29" s="165">
        <v>29</v>
      </c>
      <c r="F29" s="38">
        <v>0</v>
      </c>
      <c r="G29" s="38">
        <f>$C29*G5</f>
        <v>40</v>
      </c>
      <c r="H29" s="38">
        <f>$C29*H5</f>
        <v>44.00000000000001</v>
      </c>
      <c r="I29" s="38">
        <f>$C29*I5</f>
        <v>48.40000000000001</v>
      </c>
      <c r="J29" s="38">
        <v>0</v>
      </c>
      <c r="K29" s="19"/>
      <c r="L29" s="19"/>
      <c r="M29" s="28"/>
      <c r="O29" s="27"/>
      <c r="P29" s="239"/>
      <c r="Q29" s="77"/>
      <c r="R29" s="22"/>
    </row>
    <row r="30" spans="2:18" ht="13.5" customHeight="1">
      <c r="B30" s="23" t="s">
        <v>49</v>
      </c>
      <c r="C30" s="158">
        <v>2</v>
      </c>
      <c r="D30" s="17" t="s">
        <v>35</v>
      </c>
      <c r="E30" s="166">
        <v>50</v>
      </c>
      <c r="F30" s="163">
        <v>20</v>
      </c>
      <c r="G30" s="79">
        <f>F30-G11+$C30</f>
        <v>20</v>
      </c>
      <c r="H30" s="79">
        <f>G30-H11+$C30</f>
        <v>20</v>
      </c>
      <c r="I30" s="79">
        <f>H30-I11+$C30</f>
        <v>20</v>
      </c>
      <c r="J30" s="79">
        <v>0</v>
      </c>
      <c r="K30" s="19"/>
      <c r="L30" s="19"/>
      <c r="M30" s="28"/>
      <c r="O30" s="27"/>
      <c r="Q30" s="77"/>
      <c r="R30" s="22"/>
    </row>
    <row r="31" spans="2:18" ht="13.5" customHeight="1">
      <c r="B31" s="15" t="s">
        <v>50</v>
      </c>
      <c r="C31" s="18"/>
      <c r="D31" s="58"/>
      <c r="E31" s="167">
        <f aca="true" t="shared" si="0" ref="E31:J31">E29+E30</f>
        <v>79</v>
      </c>
      <c r="F31" s="38">
        <f t="shared" si="0"/>
        <v>20</v>
      </c>
      <c r="G31" s="38">
        <f t="shared" si="0"/>
        <v>60</v>
      </c>
      <c r="H31" s="38">
        <f t="shared" si="0"/>
        <v>64</v>
      </c>
      <c r="I31" s="38">
        <f t="shared" si="0"/>
        <v>68.4</v>
      </c>
      <c r="J31" s="38">
        <f t="shared" si="0"/>
        <v>0</v>
      </c>
      <c r="K31" s="19"/>
      <c r="L31" s="19"/>
      <c r="P31" s="22"/>
      <c r="Q31" s="77"/>
      <c r="R31" s="22"/>
    </row>
    <row r="32" spans="2:18" ht="6.75" customHeight="1">
      <c r="B32" s="23"/>
      <c r="C32" s="18"/>
      <c r="D32" s="18"/>
      <c r="E32" s="167"/>
      <c r="F32" s="38"/>
      <c r="G32" s="18"/>
      <c r="H32" s="18"/>
      <c r="I32" s="18"/>
      <c r="J32" s="18"/>
      <c r="K32" s="19"/>
      <c r="L32" s="19"/>
      <c r="O32" s="27"/>
      <c r="P32" s="80"/>
      <c r="Q32" s="77"/>
      <c r="R32" s="22"/>
    </row>
    <row r="33" spans="2:18" ht="13.5" customHeight="1">
      <c r="B33" s="23" t="s">
        <v>51</v>
      </c>
      <c r="C33" s="81"/>
      <c r="D33" s="17" t="s">
        <v>38</v>
      </c>
      <c r="E33" s="168">
        <v>25</v>
      </c>
      <c r="F33" s="225">
        <v>10</v>
      </c>
      <c r="G33" s="19">
        <f>IF(G34&gt;G31,0,G31-G34)</f>
        <v>34.95</v>
      </c>
      <c r="H33" s="38">
        <f>IF(H34&gt;H31,0,H31-H34)</f>
        <v>24.120499999999993</v>
      </c>
      <c r="I33" s="38">
        <f>IF(I34&gt;I31,0,I31-I34)</f>
        <v>12.55745499999999</v>
      </c>
      <c r="J33" s="38">
        <f>IF(J34&gt;J31,0,J31-J34)</f>
        <v>0</v>
      </c>
      <c r="K33" s="19"/>
      <c r="L33" s="19"/>
      <c r="N33" s="35"/>
      <c r="O33" s="27"/>
      <c r="P33" s="80"/>
      <c r="Q33" s="77"/>
      <c r="R33" s="22"/>
    </row>
    <row r="34" spans="2:18" ht="13.5" customHeight="1">
      <c r="B34" s="23" t="s">
        <v>52</v>
      </c>
      <c r="C34" s="82"/>
      <c r="D34" s="17" t="s">
        <v>48</v>
      </c>
      <c r="E34" s="169">
        <v>54</v>
      </c>
      <c r="F34" s="224">
        <v>10</v>
      </c>
      <c r="G34" s="79">
        <f>F34+G16</f>
        <v>25.05</v>
      </c>
      <c r="H34" s="49">
        <f>G34+H16</f>
        <v>39.87950000000001</v>
      </c>
      <c r="I34" s="49">
        <f>H34+I16</f>
        <v>55.842545000000015</v>
      </c>
      <c r="J34" s="49">
        <f>I34+J16</f>
        <v>72.86468755000001</v>
      </c>
      <c r="K34" s="19"/>
      <c r="L34" s="19"/>
      <c r="N34" s="35"/>
      <c r="O34" s="21"/>
      <c r="P34" s="22"/>
      <c r="Q34" s="77"/>
      <c r="R34" s="22"/>
    </row>
    <row r="35" spans="2:18" ht="12" customHeight="1">
      <c r="B35" s="15" t="s">
        <v>53</v>
      </c>
      <c r="C35" s="18"/>
      <c r="D35" s="18"/>
      <c r="E35" s="167">
        <f>E33+E34</f>
        <v>79</v>
      </c>
      <c r="F35" s="18">
        <f>F34+F33</f>
        <v>20</v>
      </c>
      <c r="G35" s="18">
        <f>G34+G33</f>
        <v>60</v>
      </c>
      <c r="H35" s="18">
        <f>H34+H33</f>
        <v>64</v>
      </c>
      <c r="I35" s="18">
        <f>I34+I33</f>
        <v>68.4</v>
      </c>
      <c r="J35" s="18">
        <f>J34+J33</f>
        <v>72.86468755000001</v>
      </c>
      <c r="K35" s="19"/>
      <c r="L35" s="19"/>
      <c r="N35" s="35"/>
      <c r="O35" s="27"/>
      <c r="P35" s="22"/>
      <c r="Q35" s="77"/>
      <c r="R35" s="22"/>
    </row>
    <row r="36" spans="2:18" ht="19.5" customHeight="1">
      <c r="B36" s="23" t="s">
        <v>54</v>
      </c>
      <c r="C36" s="58"/>
      <c r="D36" s="17" t="s">
        <v>68</v>
      </c>
      <c r="E36" s="167">
        <f aca="true" t="shared" si="1" ref="E36:J36">E35-E31</f>
        <v>0</v>
      </c>
      <c r="F36" s="38">
        <f t="shared" si="1"/>
        <v>0</v>
      </c>
      <c r="G36" s="38">
        <f t="shared" si="1"/>
        <v>0</v>
      </c>
      <c r="H36" s="38">
        <f t="shared" si="1"/>
        <v>0</v>
      </c>
      <c r="I36" s="38">
        <f t="shared" si="1"/>
        <v>0</v>
      </c>
      <c r="J36" s="38">
        <f t="shared" si="1"/>
        <v>72.86468755000001</v>
      </c>
      <c r="K36" s="19"/>
      <c r="L36" s="19"/>
      <c r="N36" s="35"/>
      <c r="O36" s="27"/>
      <c r="P36" s="22"/>
      <c r="Q36" s="22"/>
      <c r="R36" s="14"/>
    </row>
    <row r="37" spans="2:16" ht="12.75" customHeight="1">
      <c r="B37" s="23" t="s">
        <v>55</v>
      </c>
      <c r="C37" s="58"/>
      <c r="D37" s="17" t="s">
        <v>68</v>
      </c>
      <c r="E37" s="167"/>
      <c r="F37" s="38"/>
      <c r="G37" s="38">
        <f>G36-E36</f>
        <v>0</v>
      </c>
      <c r="H37" s="38">
        <f>H36-G36</f>
        <v>0</v>
      </c>
      <c r="I37" s="38">
        <f>I36-H36</f>
        <v>0</v>
      </c>
      <c r="J37" s="38">
        <f>J36-I36</f>
        <v>72.86468755000001</v>
      </c>
      <c r="K37" s="19"/>
      <c r="L37" s="19"/>
      <c r="N37" s="35"/>
      <c r="P37" s="22"/>
    </row>
    <row r="38" spans="2:16" ht="12.75" customHeight="1">
      <c r="B38" s="83"/>
      <c r="C38" s="3"/>
      <c r="D38" s="84"/>
      <c r="E38" s="22"/>
      <c r="F38" s="22"/>
      <c r="G38" s="22"/>
      <c r="H38" s="22"/>
      <c r="I38" s="22"/>
      <c r="J38" s="22"/>
      <c r="K38" s="22"/>
      <c r="L38" s="85"/>
      <c r="N38" s="35"/>
      <c r="P38" s="22"/>
    </row>
    <row r="39" spans="2:14" ht="12.75" customHeight="1">
      <c r="B39" s="83"/>
      <c r="C39" s="3"/>
      <c r="D39" s="84"/>
      <c r="E39" s="22"/>
      <c r="F39" s="22"/>
      <c r="G39" s="22"/>
      <c r="H39" s="22"/>
      <c r="I39" s="22"/>
      <c r="J39" s="22"/>
      <c r="K39" s="22"/>
      <c r="N39" s="35"/>
    </row>
    <row r="40" spans="1:14" ht="12.75" customHeight="1" thickBot="1">
      <c r="A40" s="86"/>
      <c r="B40" s="87" t="s">
        <v>56</v>
      </c>
      <c r="C40" s="88"/>
      <c r="D40" s="89"/>
      <c r="E40" s="226"/>
      <c r="F40" s="226"/>
      <c r="G40" s="226"/>
      <c r="H40" s="90"/>
      <c r="I40" s="22"/>
      <c r="J40" s="22"/>
      <c r="K40" s="22"/>
      <c r="N40" s="35"/>
    </row>
    <row r="41" spans="1:14" ht="12.75" customHeight="1">
      <c r="A41" s="86"/>
      <c r="B41" s="85" t="s">
        <v>142</v>
      </c>
      <c r="C41" s="91"/>
      <c r="D41" s="92"/>
      <c r="E41" s="227"/>
      <c r="F41" s="227"/>
      <c r="G41" s="85"/>
      <c r="H41" s="77"/>
      <c r="I41" s="22"/>
      <c r="J41" s="22"/>
      <c r="L41" s="77"/>
      <c r="N41" s="35"/>
    </row>
    <row r="42" spans="1:14" ht="12.75" customHeight="1">
      <c r="A42" s="93" t="s">
        <v>29</v>
      </c>
      <c r="B42" s="94" t="s">
        <v>88</v>
      </c>
      <c r="C42" s="91"/>
      <c r="D42" s="92"/>
      <c r="E42" s="227"/>
      <c r="F42" s="227"/>
      <c r="G42" s="85"/>
      <c r="H42" s="77"/>
      <c r="I42" s="22"/>
      <c r="J42" s="22"/>
      <c r="L42" s="77"/>
      <c r="N42" s="35"/>
    </row>
    <row r="43" spans="1:14" ht="12.75" customHeight="1">
      <c r="A43" s="93" t="s">
        <v>29</v>
      </c>
      <c r="B43" s="94" t="s">
        <v>143</v>
      </c>
      <c r="C43" s="95"/>
      <c r="E43" s="22"/>
      <c r="F43" s="22"/>
      <c r="G43" s="22"/>
      <c r="H43" s="22"/>
      <c r="I43" s="22"/>
      <c r="J43" s="22"/>
      <c r="K43" s="22"/>
      <c r="N43" s="35"/>
    </row>
    <row r="44" spans="1:14" ht="12.75" customHeight="1">
      <c r="A44" s="93" t="s">
        <v>57</v>
      </c>
      <c r="B44" s="94" t="s">
        <v>84</v>
      </c>
      <c r="C44" s="95"/>
      <c r="D44" s="86"/>
      <c r="E44" s="22"/>
      <c r="F44" s="22"/>
      <c r="G44" s="22"/>
      <c r="H44" s="22"/>
      <c r="I44" s="22"/>
      <c r="J44" s="22"/>
      <c r="K44" s="22"/>
      <c r="N44" s="35"/>
    </row>
    <row r="45" spans="1:14" ht="12.75" customHeight="1">
      <c r="A45" s="93" t="s">
        <v>58</v>
      </c>
      <c r="B45" s="94" t="s">
        <v>92</v>
      </c>
      <c r="C45" s="95"/>
      <c r="D45" s="86"/>
      <c r="E45" s="22"/>
      <c r="F45" s="22"/>
      <c r="G45" s="22"/>
      <c r="H45" s="22"/>
      <c r="I45" s="22"/>
      <c r="J45" s="22"/>
      <c r="K45" s="22"/>
      <c r="N45" s="35"/>
    </row>
    <row r="46" spans="1:14" ht="12.75" customHeight="1">
      <c r="A46" s="93" t="s">
        <v>34</v>
      </c>
      <c r="B46" s="94" t="s">
        <v>85</v>
      </c>
      <c r="D46" s="96"/>
      <c r="E46" s="97"/>
      <c r="F46" s="97"/>
      <c r="G46" s="22"/>
      <c r="H46" s="22"/>
      <c r="I46" s="22"/>
      <c r="J46" s="22"/>
      <c r="K46" s="22"/>
      <c r="N46" s="35"/>
    </row>
    <row r="47" spans="1:14" ht="12.75" customHeight="1">
      <c r="A47" s="93" t="s">
        <v>35</v>
      </c>
      <c r="B47" s="94" t="s">
        <v>86</v>
      </c>
      <c r="D47" s="96"/>
      <c r="E47" s="97"/>
      <c r="F47" s="97"/>
      <c r="G47" s="22"/>
      <c r="H47" s="22"/>
      <c r="I47" s="22"/>
      <c r="J47" s="22"/>
      <c r="K47" s="22"/>
      <c r="N47" s="35"/>
    </row>
    <row r="48" spans="1:14" ht="12.75" customHeight="1">
      <c r="A48" s="93" t="s">
        <v>35</v>
      </c>
      <c r="B48" s="3" t="s">
        <v>91</v>
      </c>
      <c r="D48" s="96"/>
      <c r="E48" s="97"/>
      <c r="F48" s="97"/>
      <c r="G48" s="22"/>
      <c r="H48" s="22"/>
      <c r="I48" s="22"/>
      <c r="J48" s="22"/>
      <c r="K48" s="22"/>
      <c r="N48" s="35"/>
    </row>
    <row r="49" spans="1:14" ht="12.75" customHeight="1">
      <c r="A49" s="93" t="s">
        <v>38</v>
      </c>
      <c r="B49" s="3" t="s">
        <v>194</v>
      </c>
      <c r="C49" s="97"/>
      <c r="D49" s="96"/>
      <c r="E49" s="97"/>
      <c r="F49" s="97"/>
      <c r="G49" s="22"/>
      <c r="H49" s="22"/>
      <c r="I49" s="22"/>
      <c r="J49" s="22"/>
      <c r="K49" s="22"/>
      <c r="N49" s="35"/>
    </row>
    <row r="50" spans="1:14" ht="12.75" customHeight="1">
      <c r="A50" s="93" t="s">
        <v>48</v>
      </c>
      <c r="B50" s="3" t="s">
        <v>146</v>
      </c>
      <c r="I50" s="22"/>
      <c r="J50" s="22"/>
      <c r="K50" s="22"/>
      <c r="N50" s="35"/>
    </row>
    <row r="51" spans="1:2" ht="12.75" customHeight="1">
      <c r="A51" s="93" t="s">
        <v>68</v>
      </c>
      <c r="B51" s="3" t="s">
        <v>59</v>
      </c>
    </row>
    <row r="52" spans="3:14" ht="12.75" customHeight="1">
      <c r="C52" s="3"/>
      <c r="D52" s="84"/>
      <c r="E52" s="22"/>
      <c r="F52" s="22"/>
      <c r="G52" s="22"/>
      <c r="H52" s="22"/>
      <c r="I52" s="22"/>
      <c r="J52" s="22"/>
      <c r="K52" s="22"/>
      <c r="N52" s="35"/>
    </row>
    <row r="53" spans="3:14" ht="12.75" customHeight="1">
      <c r="C53" s="3"/>
      <c r="D53" s="84"/>
      <c r="E53" s="22"/>
      <c r="F53" s="22"/>
      <c r="G53" s="22"/>
      <c r="N53" s="35"/>
    </row>
    <row r="54" spans="7:14" ht="12.75" customHeight="1">
      <c r="G54" s="98"/>
      <c r="I54" s="99"/>
      <c r="J54" s="99"/>
      <c r="K54" s="4" t="s">
        <v>116</v>
      </c>
      <c r="N54" s="35"/>
    </row>
    <row r="55" spans="2:14" ht="27" customHeight="1">
      <c r="B55" s="100"/>
      <c r="C55" s="101"/>
      <c r="D55" s="101"/>
      <c r="F55" s="5" t="s">
        <v>97</v>
      </c>
      <c r="H55" s="238"/>
      <c r="L55" s="4"/>
      <c r="N55" s="58"/>
    </row>
    <row r="56" spans="5:14" s="86" customFormat="1" ht="13.5" customHeight="1">
      <c r="E56" s="28"/>
      <c r="F56" s="28"/>
      <c r="G56" s="28"/>
      <c r="H56" s="28"/>
      <c r="I56" s="28"/>
      <c r="J56" s="28"/>
      <c r="K56" s="28"/>
      <c r="N56" s="58"/>
    </row>
    <row r="57" spans="2:14" s="86" customFormat="1" ht="13.5" customHeight="1">
      <c r="B57" s="103"/>
      <c r="C57" s="104"/>
      <c r="D57" s="105"/>
      <c r="E57" s="72"/>
      <c r="F57" s="162">
        <f>F28</f>
        <v>2006</v>
      </c>
      <c r="G57" s="162">
        <f>G28</f>
        <v>2007</v>
      </c>
      <c r="H57" s="162">
        <f>H28</f>
        <v>2008</v>
      </c>
      <c r="I57" s="162">
        <f>I28</f>
        <v>2009</v>
      </c>
      <c r="J57" s="162">
        <f>J28</f>
        <v>2010</v>
      </c>
      <c r="K57" s="72"/>
      <c r="L57" s="106"/>
      <c r="M57" s="107" t="s">
        <v>60</v>
      </c>
      <c r="N57" s="31"/>
    </row>
    <row r="58" spans="2:14" s="86" customFormat="1" ht="13.5" customHeight="1" thickBot="1">
      <c r="B58" s="89" t="s">
        <v>87</v>
      </c>
      <c r="C58" s="184"/>
      <c r="D58" s="68"/>
      <c r="E58" s="72"/>
      <c r="F58" s="171">
        <v>0</v>
      </c>
      <c r="G58" s="171">
        <v>1</v>
      </c>
      <c r="H58" s="171">
        <v>2</v>
      </c>
      <c r="I58" s="171">
        <v>3</v>
      </c>
      <c r="J58" s="171">
        <v>4</v>
      </c>
      <c r="K58" s="72"/>
      <c r="L58" s="72"/>
      <c r="M58" s="6" t="s">
        <v>22</v>
      </c>
      <c r="N58" s="6" t="s">
        <v>62</v>
      </c>
    </row>
    <row r="59" spans="2:14" s="86" customFormat="1" ht="13.5" customHeight="1">
      <c r="B59" s="23" t="s">
        <v>61</v>
      </c>
      <c r="C59" s="108"/>
      <c r="D59" s="17" t="s">
        <v>29</v>
      </c>
      <c r="E59" s="19"/>
      <c r="F59" s="147">
        <f>-F31</f>
        <v>-20</v>
      </c>
      <c r="G59" s="18">
        <f>F31-G31</f>
        <v>-40</v>
      </c>
      <c r="H59" s="18">
        <f>G31-H31</f>
        <v>-4</v>
      </c>
      <c r="I59" s="18">
        <f>H31-I31</f>
        <v>-4.400000000000006</v>
      </c>
      <c r="J59" s="18">
        <f>I31-J31</f>
        <v>68.4</v>
      </c>
      <c r="K59" s="19"/>
      <c r="L59" s="109"/>
      <c r="M59" s="110">
        <v>0.2</v>
      </c>
      <c r="N59" s="110">
        <v>0</v>
      </c>
    </row>
    <row r="60" spans="2:14" s="86" customFormat="1" ht="13.5" customHeight="1">
      <c r="B60" s="170" t="s">
        <v>89</v>
      </c>
      <c r="C60" s="108"/>
      <c r="D60" s="17"/>
      <c r="E60" s="19"/>
      <c r="F60" s="31"/>
      <c r="G60" s="172">
        <f>G12</f>
        <v>24</v>
      </c>
      <c r="H60" s="172">
        <f>H12</f>
        <v>24.680000000000003</v>
      </c>
      <c r="I60" s="172">
        <f>I12</f>
        <v>25.216400000000007</v>
      </c>
      <c r="J60" s="172">
        <f>J12</f>
        <v>25.573092000000006</v>
      </c>
      <c r="K60" s="19"/>
      <c r="L60" s="109"/>
      <c r="M60" s="95" t="s">
        <v>15</v>
      </c>
      <c r="N60" s="111">
        <f>J12</f>
        <v>25.573092000000006</v>
      </c>
    </row>
    <row r="61" spans="2:14" s="86" customFormat="1" ht="13.5" customHeight="1">
      <c r="B61" s="113" t="s">
        <v>90</v>
      </c>
      <c r="C61" s="108"/>
      <c r="D61" s="17"/>
      <c r="E61" s="106"/>
      <c r="F61" s="82">
        <f>F59+F60</f>
        <v>-20</v>
      </c>
      <c r="G61" s="82">
        <f>G59+G60</f>
        <v>-16</v>
      </c>
      <c r="H61" s="82">
        <f>H59+H60</f>
        <v>20.680000000000003</v>
      </c>
      <c r="I61" s="82">
        <f>I59+I60</f>
        <v>20.8164</v>
      </c>
      <c r="J61" s="82">
        <f>J59+J60</f>
        <v>93.97309200000001</v>
      </c>
      <c r="K61" s="106"/>
      <c r="L61" s="104"/>
      <c r="M61" s="4" t="s">
        <v>114</v>
      </c>
      <c r="N61" s="112">
        <f>N60/(M59-N59)</f>
        <v>127.86546000000003</v>
      </c>
    </row>
    <row r="62" spans="2:16" s="86" customFormat="1" ht="21" customHeight="1">
      <c r="B62" s="113" t="s">
        <v>93</v>
      </c>
      <c r="C62" s="108"/>
      <c r="D62" s="58"/>
      <c r="E62" s="232"/>
      <c r="F62" s="237">
        <f>F59</f>
        <v>-20</v>
      </c>
      <c r="G62" s="175">
        <f>G59+G60*0.7</f>
        <v>-23.200000000000003</v>
      </c>
      <c r="H62" s="175">
        <f>H59+H60*0.7</f>
        <v>13.276</v>
      </c>
      <c r="I62" s="175">
        <f>I59+I60*0.7</f>
        <v>13.251479999999997</v>
      </c>
      <c r="J62" s="175">
        <f>J59+J60*0.7</f>
        <v>86.3011644</v>
      </c>
      <c r="K62" s="106"/>
      <c r="L62" s="104"/>
      <c r="M62" s="58"/>
      <c r="N62" s="3"/>
      <c r="O62" s="4"/>
      <c r="P62" s="112"/>
    </row>
    <row r="63" spans="2:15" s="86" customFormat="1" ht="13.5" customHeight="1">
      <c r="B63" s="68"/>
      <c r="C63" s="108"/>
      <c r="D63" s="58"/>
      <c r="E63" s="232"/>
      <c r="F63" s="232"/>
      <c r="G63" s="18"/>
      <c r="H63" s="18"/>
      <c r="I63" s="18"/>
      <c r="J63" s="18"/>
      <c r="K63" s="18"/>
      <c r="L63" s="104"/>
      <c r="M63" s="58"/>
      <c r="N63" s="3"/>
      <c r="O63" s="3"/>
    </row>
    <row r="64" spans="2:15" s="86" customFormat="1" ht="13.5" customHeight="1">
      <c r="B64" s="72" t="s">
        <v>197</v>
      </c>
      <c r="C64" s="78" t="s">
        <v>196</v>
      </c>
      <c r="D64" s="115">
        <v>0.2</v>
      </c>
      <c r="F64" s="232" t="s">
        <v>103</v>
      </c>
      <c r="G64" s="234">
        <f>NPV(D64,G61:J61)</f>
        <v>58.39311921296298</v>
      </c>
      <c r="H64" s="81" t="s">
        <v>66</v>
      </c>
      <c r="I64" s="233">
        <f>IRR(F61:J61)</f>
        <v>0.5527338186176078</v>
      </c>
      <c r="J64" s="81" t="s">
        <v>67</v>
      </c>
      <c r="K64" s="118">
        <f>G64+F61</f>
        <v>38.39311921296298</v>
      </c>
      <c r="L64" s="104"/>
      <c r="M64" s="119"/>
      <c r="N64" s="3"/>
      <c r="O64" s="3"/>
    </row>
    <row r="65" spans="2:15" s="86" customFormat="1" ht="13.5" customHeight="1">
      <c r="B65" s="72" t="s">
        <v>93</v>
      </c>
      <c r="C65" s="178" t="s">
        <v>196</v>
      </c>
      <c r="D65" s="179">
        <f>D64*(1-C15)</f>
        <v>0.13999999999999999</v>
      </c>
      <c r="E65" s="232"/>
      <c r="F65" s="232" t="s">
        <v>103</v>
      </c>
      <c r="G65" s="236">
        <f>NPV(D65,G62:J62)</f>
        <v>49.90616261783228</v>
      </c>
      <c r="H65" s="81" t="s">
        <v>66</v>
      </c>
      <c r="I65" s="235">
        <f>IRR(F62:J62)</f>
        <v>0.36742221043472045</v>
      </c>
      <c r="J65" s="81" t="s">
        <v>67</v>
      </c>
      <c r="K65" s="118">
        <f>G65+F62</f>
        <v>29.90616261783228</v>
      </c>
      <c r="L65" s="104"/>
      <c r="M65" s="58"/>
      <c r="N65" s="3"/>
      <c r="O65" s="3"/>
    </row>
    <row r="66" spans="11:15" s="86" customFormat="1" ht="13.5" customHeight="1">
      <c r="K66" s="18"/>
      <c r="L66" s="104"/>
      <c r="M66" s="58"/>
      <c r="N66" s="3"/>
      <c r="O66" s="3"/>
    </row>
    <row r="67" spans="2:15" s="86" customFormat="1" ht="13.5" customHeight="1">
      <c r="B67" s="120"/>
      <c r="C67" s="17"/>
      <c r="D67" s="3"/>
      <c r="E67" s="121"/>
      <c r="F67" s="121"/>
      <c r="G67" s="122"/>
      <c r="H67" s="68"/>
      <c r="I67" s="106"/>
      <c r="J67" s="122"/>
      <c r="K67" s="18"/>
      <c r="L67" s="104"/>
      <c r="M67" s="58"/>
      <c r="N67" s="3"/>
      <c r="O67" s="3"/>
    </row>
    <row r="68" spans="2:14" ht="13.5" customHeight="1" thickBot="1">
      <c r="B68" s="89" t="s">
        <v>94</v>
      </c>
      <c r="C68" s="184"/>
      <c r="D68" s="68"/>
      <c r="E68" s="72"/>
      <c r="F68" s="171">
        <f>F58</f>
        <v>0</v>
      </c>
      <c r="G68" s="171">
        <f>G58</f>
        <v>1</v>
      </c>
      <c r="H68" s="171">
        <f>H58</f>
        <v>2</v>
      </c>
      <c r="I68" s="171">
        <f>I58</f>
        <v>3</v>
      </c>
      <c r="J68" s="171">
        <f>J58</f>
        <v>4</v>
      </c>
      <c r="K68" s="72"/>
      <c r="L68" s="72"/>
      <c r="M68" s="107" t="s">
        <v>60</v>
      </c>
      <c r="N68" s="31"/>
    </row>
    <row r="69" spans="2:14" ht="13.5" customHeight="1">
      <c r="B69" s="23" t="s">
        <v>61</v>
      </c>
      <c r="C69" s="108"/>
      <c r="D69" s="17" t="s">
        <v>29</v>
      </c>
      <c r="E69" s="19"/>
      <c r="F69" s="18">
        <f>-F31</f>
        <v>-20</v>
      </c>
      <c r="G69" s="18">
        <f>F31-G31</f>
        <v>-40</v>
      </c>
      <c r="H69" s="18">
        <f>G31-H31</f>
        <v>-4</v>
      </c>
      <c r="I69" s="18">
        <f>H31-I31</f>
        <v>-4.400000000000006</v>
      </c>
      <c r="J69" s="18">
        <f>I31-J31</f>
        <v>68.4</v>
      </c>
      <c r="L69" s="109"/>
      <c r="M69" s="6" t="s">
        <v>22</v>
      </c>
      <c r="N69" s="6" t="s">
        <v>62</v>
      </c>
    </row>
    <row r="70" spans="2:16" ht="13.5" customHeight="1">
      <c r="B70" s="23" t="s">
        <v>63</v>
      </c>
      <c r="C70" s="108"/>
      <c r="D70" s="17" t="s">
        <v>31</v>
      </c>
      <c r="E70" s="19"/>
      <c r="F70" s="38">
        <f>F33</f>
        <v>10</v>
      </c>
      <c r="G70" s="38">
        <f>G33-F33</f>
        <v>24.950000000000003</v>
      </c>
      <c r="H70" s="38">
        <f>H33-G33</f>
        <v>-10.82950000000001</v>
      </c>
      <c r="I70" s="38">
        <f>I33-H33</f>
        <v>-11.563045000000002</v>
      </c>
      <c r="J70" s="38">
        <f>J33-I33</f>
        <v>-12.55745499999999</v>
      </c>
      <c r="L70" s="109"/>
      <c r="M70" s="110">
        <v>0.2</v>
      </c>
      <c r="N70" s="110">
        <v>0</v>
      </c>
      <c r="P70" s="111"/>
    </row>
    <row r="71" spans="2:14" ht="13.5" customHeight="1">
      <c r="B71" s="170" t="s">
        <v>95</v>
      </c>
      <c r="C71" s="108"/>
      <c r="D71" s="17"/>
      <c r="E71" s="19"/>
      <c r="F71" s="49"/>
      <c r="G71" s="49">
        <f>G16</f>
        <v>15.05</v>
      </c>
      <c r="H71" s="49">
        <f>H16</f>
        <v>14.829500000000003</v>
      </c>
      <c r="I71" s="49">
        <f>I16</f>
        <v>15.963045000000005</v>
      </c>
      <c r="J71" s="49">
        <f>J16</f>
        <v>17.022142550000005</v>
      </c>
      <c r="L71" s="109"/>
      <c r="M71" s="95" t="s">
        <v>64</v>
      </c>
      <c r="N71" s="111">
        <f>J16</f>
        <v>17.022142550000005</v>
      </c>
    </row>
    <row r="72" spans="2:14" ht="13.5" customHeight="1">
      <c r="B72" s="113" t="s">
        <v>65</v>
      </c>
      <c r="C72" s="108"/>
      <c r="D72" s="17" t="s">
        <v>33</v>
      </c>
      <c r="E72" s="106"/>
      <c r="F72" s="81">
        <f>SUM(F69:F71)</f>
        <v>-10</v>
      </c>
      <c r="G72" s="81">
        <f>SUM(G69:G71)</f>
        <v>0</v>
      </c>
      <c r="H72" s="81">
        <f>SUM(H69:H71)</f>
        <v>0</v>
      </c>
      <c r="I72" s="81">
        <f>SUM(I69:I71)</f>
        <v>0</v>
      </c>
      <c r="J72" s="81">
        <f>SUM(J69:J71)</f>
        <v>72.86468755000001</v>
      </c>
      <c r="L72" s="104"/>
      <c r="M72" s="4" t="s">
        <v>114</v>
      </c>
      <c r="N72" s="112">
        <f>N71/(M70-N70)</f>
        <v>85.11071275000002</v>
      </c>
    </row>
    <row r="73" spans="2:13" ht="13.5" customHeight="1">
      <c r="B73" s="68"/>
      <c r="C73" s="108"/>
      <c r="D73" s="58"/>
      <c r="E73" s="232"/>
      <c r="F73" s="232"/>
      <c r="G73" s="18"/>
      <c r="H73" s="18"/>
      <c r="I73" s="18"/>
      <c r="J73" s="18"/>
      <c r="K73" s="18"/>
      <c r="L73" s="104"/>
      <c r="M73" s="58"/>
    </row>
    <row r="74" spans="2:13" ht="13.5" customHeight="1">
      <c r="B74" s="72" t="s">
        <v>212</v>
      </c>
      <c r="C74" s="78" t="s">
        <v>198</v>
      </c>
      <c r="D74" s="115">
        <v>0.2</v>
      </c>
      <c r="F74" s="232" t="s">
        <v>103</v>
      </c>
      <c r="G74" s="234">
        <f>NPV(D74,G72:J72)</f>
        <v>35.13922046199847</v>
      </c>
      <c r="H74" s="81" t="s">
        <v>66</v>
      </c>
      <c r="I74" s="233">
        <f>IRR(F72:J72)</f>
        <v>0.6429686505015276</v>
      </c>
      <c r="J74" s="81" t="s">
        <v>67</v>
      </c>
      <c r="K74" s="118">
        <f>G74+F72</f>
        <v>25.13922046199847</v>
      </c>
      <c r="L74" s="104"/>
      <c r="M74" s="119"/>
    </row>
    <row r="75" spans="2:13" ht="13.5" customHeight="1">
      <c r="B75" s="68"/>
      <c r="C75" s="108"/>
      <c r="D75" s="58"/>
      <c r="E75" s="232"/>
      <c r="F75" s="232"/>
      <c r="G75" s="18"/>
      <c r="H75" s="18"/>
      <c r="I75" s="18"/>
      <c r="J75" s="18"/>
      <c r="K75" s="18"/>
      <c r="L75" s="104"/>
      <c r="M75" s="58"/>
    </row>
    <row r="77" spans="2:12" ht="13.5" customHeight="1" thickBot="1">
      <c r="B77" s="89" t="s">
        <v>112</v>
      </c>
      <c r="C77" s="184"/>
      <c r="D77" s="185"/>
      <c r="E77" s="231"/>
      <c r="F77" s="230"/>
      <c r="G77" s="58"/>
      <c r="L77" s="68"/>
    </row>
    <row r="78" spans="3:12" ht="13.5" customHeight="1">
      <c r="C78" s="3"/>
      <c r="F78" s="230"/>
      <c r="G78" s="58"/>
      <c r="L78" s="68"/>
    </row>
    <row r="79" spans="2:12" ht="13.5" customHeight="1">
      <c r="B79" s="204"/>
      <c r="C79" s="205" t="s">
        <v>161</v>
      </c>
      <c r="D79" s="206"/>
      <c r="E79" s="229"/>
      <c r="F79" s="122"/>
      <c r="L79" s="68"/>
    </row>
    <row r="80" spans="2:12" ht="13.5" customHeight="1">
      <c r="B80" s="272" t="s">
        <v>101</v>
      </c>
      <c r="C80" s="187">
        <v>150</v>
      </c>
      <c r="D80" s="187">
        <v>200</v>
      </c>
      <c r="E80" s="188">
        <v>250</v>
      </c>
      <c r="F80" s="42"/>
      <c r="G80" s="204"/>
      <c r="H80" s="208"/>
      <c r="I80" s="209" t="s">
        <v>168</v>
      </c>
      <c r="J80" s="210"/>
      <c r="L80" s="68"/>
    </row>
    <row r="81" spans="2:12" ht="13.5" customHeight="1">
      <c r="B81" s="277" t="s">
        <v>202</v>
      </c>
      <c r="C81" s="278">
        <v>0.43</v>
      </c>
      <c r="D81" s="278">
        <v>0.55</v>
      </c>
      <c r="E81" s="279">
        <v>0.66</v>
      </c>
      <c r="F81" s="128"/>
      <c r="G81" s="197" t="s">
        <v>106</v>
      </c>
      <c r="H81" s="50"/>
      <c r="I81" s="124" t="s">
        <v>6</v>
      </c>
      <c r="J81" s="195" t="s">
        <v>107</v>
      </c>
      <c r="L81" s="68"/>
    </row>
    <row r="82" spans="2:12" ht="13.5" customHeight="1">
      <c r="B82" s="189" t="s">
        <v>203</v>
      </c>
      <c r="C82" s="181">
        <v>42</v>
      </c>
      <c r="D82" s="181">
        <v>58</v>
      </c>
      <c r="E82" s="190">
        <v>75</v>
      </c>
      <c r="F82" s="128"/>
      <c r="G82" s="131" t="s">
        <v>69</v>
      </c>
      <c r="H82" s="42"/>
      <c r="I82" s="125">
        <v>0.38</v>
      </c>
      <c r="J82" s="196">
        <v>18</v>
      </c>
      <c r="L82" s="68"/>
    </row>
    <row r="83" spans="2:10" ht="13.5" customHeight="1">
      <c r="B83" s="189" t="s">
        <v>204</v>
      </c>
      <c r="C83" s="128">
        <v>0.5</v>
      </c>
      <c r="D83" s="128">
        <v>0.64</v>
      </c>
      <c r="E83" s="129">
        <v>0.75</v>
      </c>
      <c r="F83" s="128"/>
      <c r="G83" s="131" t="s">
        <v>70</v>
      </c>
      <c r="H83" s="42"/>
      <c r="I83" s="125">
        <v>0.64</v>
      </c>
      <c r="J83" s="196">
        <v>35</v>
      </c>
    </row>
    <row r="84" spans="2:16" ht="13.5" customHeight="1">
      <c r="B84" s="189" t="s">
        <v>104</v>
      </c>
      <c r="C84" s="42">
        <v>25</v>
      </c>
      <c r="D84" s="42">
        <v>35</v>
      </c>
      <c r="E84" s="221">
        <v>46</v>
      </c>
      <c r="F84" s="128"/>
      <c r="G84" s="197" t="s">
        <v>71</v>
      </c>
      <c r="H84" s="133"/>
      <c r="I84" s="198">
        <v>0.85</v>
      </c>
      <c r="J84" s="199">
        <v>57</v>
      </c>
      <c r="O84" s="130"/>
      <c r="P84" s="130"/>
    </row>
    <row r="85" spans="2:16" ht="13.5" customHeight="1">
      <c r="B85" s="192"/>
      <c r="C85" s="41"/>
      <c r="D85" s="14"/>
      <c r="E85" s="191"/>
      <c r="O85" s="130"/>
      <c r="P85" s="130"/>
    </row>
    <row r="86" spans="2:16" ht="13.5" customHeight="1">
      <c r="B86" s="272" t="s">
        <v>102</v>
      </c>
      <c r="C86" s="273">
        <v>0</v>
      </c>
      <c r="D86" s="273">
        <v>0.1</v>
      </c>
      <c r="E86" s="274">
        <v>0.15</v>
      </c>
      <c r="O86" s="130"/>
      <c r="P86" s="130"/>
    </row>
    <row r="87" spans="2:11" ht="13.5" customHeight="1">
      <c r="B87" s="277" t="s">
        <v>202</v>
      </c>
      <c r="C87" s="128">
        <v>0.5</v>
      </c>
      <c r="D87" s="128">
        <v>0.55</v>
      </c>
      <c r="E87" s="129">
        <v>0.58</v>
      </c>
      <c r="G87" s="200"/>
      <c r="H87" s="201"/>
      <c r="I87" s="202" t="s">
        <v>113</v>
      </c>
      <c r="J87" s="203"/>
      <c r="K87" s="14"/>
    </row>
    <row r="88" spans="2:11" ht="13.5" customHeight="1">
      <c r="B88" s="189" t="s">
        <v>203</v>
      </c>
      <c r="C88" s="181">
        <v>51</v>
      </c>
      <c r="D88" s="181">
        <v>58</v>
      </c>
      <c r="E88" s="190">
        <v>63</v>
      </c>
      <c r="G88" s="212"/>
      <c r="H88" s="213"/>
      <c r="I88" s="214" t="s">
        <v>201</v>
      </c>
      <c r="J88" s="215"/>
      <c r="K88" s="14"/>
    </row>
    <row r="89" spans="2:10" ht="13.5" customHeight="1">
      <c r="B89" s="189" t="s">
        <v>204</v>
      </c>
      <c r="C89" s="128">
        <v>0.58</v>
      </c>
      <c r="D89" s="128">
        <v>0.64</v>
      </c>
      <c r="E89" s="129">
        <v>0.68</v>
      </c>
      <c r="F89" s="58"/>
      <c r="G89" s="216" t="s">
        <v>19</v>
      </c>
      <c r="H89" s="127"/>
      <c r="I89" s="132" t="s">
        <v>6</v>
      </c>
      <c r="J89" s="217" t="s">
        <v>9</v>
      </c>
    </row>
    <row r="90" spans="2:13" ht="13.5" customHeight="1">
      <c r="B90" s="189" t="s">
        <v>104</v>
      </c>
      <c r="C90" s="42">
        <v>30</v>
      </c>
      <c r="D90" s="42">
        <v>35</v>
      </c>
      <c r="E90" s="221">
        <v>38</v>
      </c>
      <c r="F90" s="58"/>
      <c r="G90" s="218" t="s">
        <v>110</v>
      </c>
      <c r="H90" s="126"/>
      <c r="I90" s="125">
        <v>0.51</v>
      </c>
      <c r="J90" s="219">
        <v>23</v>
      </c>
      <c r="M90" s="85"/>
    </row>
    <row r="91" spans="2:13" ht="13.5" customHeight="1">
      <c r="B91" s="192"/>
      <c r="C91" s="41"/>
      <c r="D91" s="14"/>
      <c r="E91" s="191"/>
      <c r="F91" s="58"/>
      <c r="G91" s="218" t="s">
        <v>108</v>
      </c>
      <c r="H91" s="135"/>
      <c r="I91" s="125">
        <v>0.64</v>
      </c>
      <c r="J91" s="219">
        <v>25</v>
      </c>
      <c r="M91" s="85"/>
    </row>
    <row r="92" spans="2:13" ht="13.5" customHeight="1">
      <c r="B92" s="272" t="s">
        <v>115</v>
      </c>
      <c r="C92" s="275">
        <v>-0.02</v>
      </c>
      <c r="D92" s="275">
        <v>-0.01</v>
      </c>
      <c r="E92" s="276">
        <v>0</v>
      </c>
      <c r="F92" s="58"/>
      <c r="G92" s="218" t="s">
        <v>109</v>
      </c>
      <c r="H92" s="126"/>
      <c r="I92" s="125">
        <v>0.91</v>
      </c>
      <c r="J92" s="219">
        <v>27</v>
      </c>
      <c r="M92" s="85"/>
    </row>
    <row r="93" spans="2:13" ht="13.5" customHeight="1">
      <c r="B93" s="277" t="s">
        <v>202</v>
      </c>
      <c r="C93" s="128">
        <v>0.49</v>
      </c>
      <c r="D93" s="128">
        <v>0.55</v>
      </c>
      <c r="E93" s="129">
        <v>0.61</v>
      </c>
      <c r="F93" s="42"/>
      <c r="G93" s="211"/>
      <c r="H93" s="193"/>
      <c r="I93" s="193"/>
      <c r="J93" s="194"/>
      <c r="M93" s="85"/>
    </row>
    <row r="94" spans="2:13" ht="13.5" customHeight="1">
      <c r="B94" s="189" t="s">
        <v>203</v>
      </c>
      <c r="C94" s="181">
        <v>50</v>
      </c>
      <c r="D94" s="181">
        <v>58</v>
      </c>
      <c r="E94" s="190">
        <v>67</v>
      </c>
      <c r="F94" s="42"/>
      <c r="M94" s="85"/>
    </row>
    <row r="95" spans="2:13" ht="13.5" customHeight="1">
      <c r="B95" s="189" t="s">
        <v>204</v>
      </c>
      <c r="C95" s="128">
        <v>0.58</v>
      </c>
      <c r="D95" s="128">
        <v>0.64</v>
      </c>
      <c r="E95" s="129">
        <v>0.7</v>
      </c>
      <c r="F95" s="42"/>
      <c r="M95" s="85"/>
    </row>
    <row r="96" spans="2:13" ht="13.5" customHeight="1">
      <c r="B96" s="222" t="s">
        <v>104</v>
      </c>
      <c r="C96" s="50">
        <v>30</v>
      </c>
      <c r="D96" s="50">
        <v>35</v>
      </c>
      <c r="E96" s="223">
        <v>40</v>
      </c>
      <c r="F96" s="42"/>
      <c r="G96" s="58"/>
      <c r="H96" s="128"/>
      <c r="I96" s="126"/>
      <c r="J96" s="125"/>
      <c r="K96" s="134"/>
      <c r="M96" s="85"/>
    </row>
    <row r="98" spans="2:8" ht="13.5" customHeight="1" thickBot="1">
      <c r="B98" s="87" t="s">
        <v>105</v>
      </c>
      <c r="C98" s="88"/>
      <c r="D98" s="89"/>
      <c r="E98" s="226"/>
      <c r="F98" s="226"/>
      <c r="G98" s="226"/>
      <c r="H98" s="77"/>
    </row>
    <row r="99" spans="1:3" ht="13.5" customHeight="1">
      <c r="A99" s="84" t="s">
        <v>29</v>
      </c>
      <c r="B99" s="3" t="s">
        <v>98</v>
      </c>
      <c r="C99" s="3"/>
    </row>
    <row r="100" spans="1:3" ht="13.5" customHeight="1">
      <c r="A100" s="84" t="s">
        <v>31</v>
      </c>
      <c r="B100" s="3" t="s">
        <v>99</v>
      </c>
      <c r="C100" s="3"/>
    </row>
    <row r="101" spans="1:3" ht="13.5" customHeight="1">
      <c r="A101" s="84" t="s">
        <v>33</v>
      </c>
      <c r="B101" s="14" t="s">
        <v>100</v>
      </c>
      <c r="C101" s="3"/>
    </row>
    <row r="102" spans="1:13" ht="13.5" customHeight="1">
      <c r="A102" s="84" t="s">
        <v>34</v>
      </c>
      <c r="B102" s="220" t="s">
        <v>195</v>
      </c>
      <c r="M102" s="14"/>
    </row>
    <row r="103" spans="1:13" ht="13.5" customHeight="1">
      <c r="A103" s="14"/>
      <c r="B103" s="14" t="s">
        <v>171</v>
      </c>
      <c r="C103" s="41"/>
      <c r="D103" s="14"/>
      <c r="E103" s="14"/>
      <c r="F103" s="14"/>
      <c r="G103" s="14"/>
      <c r="H103" s="14"/>
      <c r="I103" s="14"/>
      <c r="J103" s="136"/>
      <c r="K103" s="136"/>
      <c r="L103" s="14"/>
      <c r="M103" s="14"/>
    </row>
    <row r="104" spans="2:13" ht="13.5" customHeight="1">
      <c r="B104" s="3" t="s">
        <v>172</v>
      </c>
      <c r="C104" s="41"/>
      <c r="D104" s="14"/>
      <c r="E104" s="14"/>
      <c r="F104" s="14"/>
      <c r="G104" s="14"/>
      <c r="H104" s="14"/>
      <c r="I104" s="14"/>
      <c r="J104" s="136"/>
      <c r="K104" s="136"/>
      <c r="L104" s="14"/>
      <c r="M104" s="14"/>
    </row>
    <row r="105" spans="1:13" ht="13.5" customHeight="1">
      <c r="A105" s="84" t="s">
        <v>35</v>
      </c>
      <c r="B105" s="14" t="s">
        <v>217</v>
      </c>
      <c r="C105" s="41"/>
      <c r="D105" s="14"/>
      <c r="E105" s="14"/>
      <c r="F105" s="14"/>
      <c r="G105" s="14"/>
      <c r="H105" s="14"/>
      <c r="I105" s="14"/>
      <c r="J105" s="136"/>
      <c r="K105" s="136"/>
      <c r="L105" s="14"/>
      <c r="M105" s="14"/>
    </row>
    <row r="106" spans="1:10" s="14" customFormat="1" ht="13.5" customHeight="1">
      <c r="A106" s="84" t="s">
        <v>38</v>
      </c>
      <c r="B106" s="14" t="s">
        <v>218</v>
      </c>
      <c r="C106" s="41"/>
      <c r="J106" s="136"/>
    </row>
    <row r="107" spans="10:11" s="14" customFormat="1" ht="13.5" customHeight="1">
      <c r="J107" s="136"/>
      <c r="K107" s="41" t="str">
        <f>K54</f>
        <v>© E.M. Abascal. Sept 2011</v>
      </c>
    </row>
    <row r="108" spans="1:15" s="14" customFormat="1" ht="13.5" customHeight="1">
      <c r="A108" s="84"/>
      <c r="C108" s="41"/>
      <c r="J108" s="136"/>
      <c r="K108" s="136"/>
      <c r="O108" s="137"/>
    </row>
    <row r="109" spans="1:11" s="14" customFormat="1" ht="13.5" customHeight="1">
      <c r="A109" s="84"/>
      <c r="C109" s="41"/>
      <c r="J109" s="136"/>
      <c r="K109" s="136"/>
    </row>
    <row r="110" s="14" customFormat="1" ht="13.5" customHeight="1">
      <c r="A110" s="138"/>
    </row>
    <row r="111" s="14" customFormat="1" ht="13.5" customHeight="1"/>
    <row r="112" s="14" customFormat="1" ht="13.5" customHeight="1"/>
    <row r="113" spans="3:11" s="14" customFormat="1" ht="13.5" customHeight="1">
      <c r="C113" s="41"/>
      <c r="J113" s="136"/>
      <c r="K113" s="136"/>
    </row>
    <row r="114" spans="1:7" s="14" customFormat="1" ht="13.5" customHeight="1">
      <c r="A114" s="136"/>
      <c r="B114" s="136"/>
      <c r="C114" s="228"/>
      <c r="D114" s="136"/>
      <c r="E114" s="136"/>
      <c r="F114" s="136"/>
      <c r="G114" s="3"/>
    </row>
    <row r="115" spans="2:7" s="14" customFormat="1" ht="13.5" customHeight="1">
      <c r="B115" s="3"/>
      <c r="C115" s="4"/>
      <c r="D115" s="3"/>
      <c r="E115" s="3"/>
      <c r="F115" s="3"/>
      <c r="G115" s="3"/>
    </row>
    <row r="116" spans="2:7" s="14" customFormat="1" ht="13.5" customHeight="1">
      <c r="B116" s="3"/>
      <c r="C116" s="4"/>
      <c r="D116" s="3"/>
      <c r="E116" s="3"/>
      <c r="F116" s="3"/>
      <c r="G116" s="3"/>
    </row>
    <row r="117" s="14" customFormat="1" ht="13.5" customHeight="1">
      <c r="G117" s="3"/>
    </row>
    <row r="118" s="140" customFormat="1" ht="13.5" customHeight="1">
      <c r="G118" s="139"/>
    </row>
    <row r="119" s="14" customFormat="1" ht="13.5" customHeight="1"/>
    <row r="120" s="14" customFormat="1" ht="13.5" customHeight="1"/>
    <row r="121" s="14" customFormat="1" ht="13.5" customHeight="1"/>
    <row r="122" s="14" customFormat="1" ht="13.5" customHeight="1">
      <c r="G122" s="3"/>
    </row>
    <row r="123" s="14" customFormat="1" ht="13.5" customHeight="1">
      <c r="C123" s="41"/>
    </row>
    <row r="124" s="14" customFormat="1" ht="13.5" customHeight="1">
      <c r="C124" s="41"/>
    </row>
    <row r="126" spans="12:14" ht="13.5" customHeight="1">
      <c r="L126" s="136"/>
      <c r="M126" s="136"/>
      <c r="N126" s="136"/>
    </row>
  </sheetData>
  <sheetProtection/>
  <printOptions headings="1"/>
  <pageMargins left="0.7480314960629921" right="0.2362204724409449" top="0.6299212598425197" bottom="0.6299212598425197" header="0.5118110236220472" footer="0.5118110236220472"/>
  <pageSetup horizontalDpi="1200" verticalDpi="1200" orientation="portrait" paperSize="9" scale="89" r:id="rId3"/>
  <rowBreaks count="1" manualBreakCount="1">
    <brk id="54" max="10" man="1"/>
  </rowBreaks>
  <legacyDrawing r:id="rId2"/>
</worksheet>
</file>

<file path=xl/worksheets/sheet2.xml><?xml version="1.0" encoding="utf-8"?>
<worksheet xmlns="http://schemas.openxmlformats.org/spreadsheetml/2006/main" xmlns:r="http://schemas.openxmlformats.org/officeDocument/2006/relationships">
  <dimension ref="A1:T127"/>
  <sheetViews>
    <sheetView showGridLines="0" view="pageBreakPreview" zoomScale="120" zoomScaleSheetLayoutView="120" zoomScalePageLayoutView="0" workbookViewId="0" topLeftCell="A1">
      <selection activeCell="O94" sqref="O94"/>
    </sheetView>
  </sheetViews>
  <sheetFormatPr defaultColWidth="9.125" defaultRowHeight="13.5" customHeight="1"/>
  <cols>
    <col min="1" max="1" width="4.00390625" style="3" customWidth="1"/>
    <col min="2" max="2" width="21.25390625" style="3" customWidth="1"/>
    <col min="3" max="3" width="8.00390625" style="4" customWidth="1"/>
    <col min="4" max="4" width="7.75390625" style="3" customWidth="1"/>
    <col min="5" max="5" width="5.875" style="3" customWidth="1"/>
    <col min="6" max="9" width="7.875" style="3" customWidth="1"/>
    <col min="10" max="10" width="8.875" style="3" customWidth="1"/>
    <col min="11" max="11" width="6.625" style="3" customWidth="1"/>
    <col min="12" max="12" width="5.375" style="3" customWidth="1"/>
    <col min="13" max="13" width="4.75390625" style="3" customWidth="1"/>
    <col min="14" max="14" width="6.75390625" style="3" customWidth="1"/>
    <col min="15" max="15" width="6.875" style="3" customWidth="1"/>
    <col min="16" max="16" width="9.125" style="3" customWidth="1"/>
    <col min="17" max="18" width="5.25390625" style="3" customWidth="1"/>
    <col min="19" max="16384" width="9.125" style="3" customWidth="1"/>
  </cols>
  <sheetData>
    <row r="1" spans="6:10" ht="24" customHeight="1">
      <c r="F1" s="5" t="s">
        <v>248</v>
      </c>
      <c r="I1" s="6"/>
      <c r="J1" s="7"/>
    </row>
    <row r="2" spans="2:11" ht="13.5" customHeight="1">
      <c r="B2" s="8"/>
      <c r="C2" s="9"/>
      <c r="D2" s="10"/>
      <c r="E2" s="143"/>
      <c r="F2" s="143"/>
      <c r="G2" s="10"/>
      <c r="H2" s="10"/>
      <c r="I2" s="11"/>
      <c r="J2" s="10"/>
      <c r="K2" s="10"/>
    </row>
    <row r="3" spans="2:20" ht="13.5" customHeight="1" thickBot="1">
      <c r="B3" s="89" t="s">
        <v>96</v>
      </c>
      <c r="C3" s="292" t="s">
        <v>28</v>
      </c>
      <c r="E3" s="14"/>
      <c r="F3" s="291">
        <v>2013</v>
      </c>
      <c r="G3" s="291">
        <f>F3+1</f>
        <v>2014</v>
      </c>
      <c r="H3" s="291">
        <f>G3+1</f>
        <v>2015</v>
      </c>
      <c r="I3" s="291">
        <f>H3+1</f>
        <v>2016</v>
      </c>
      <c r="J3" s="291">
        <f>I3+1</f>
        <v>2017</v>
      </c>
      <c r="K3" s="13"/>
      <c r="L3" s="13"/>
      <c r="M3" s="288"/>
      <c r="N3" s="14"/>
      <c r="P3" s="288"/>
      <c r="Q3" s="288"/>
      <c r="R3" s="288"/>
      <c r="S3" s="288"/>
      <c r="T3" s="288"/>
    </row>
    <row r="4" spans="2:20" ht="13.5" customHeight="1">
      <c r="B4" s="15" t="s">
        <v>0</v>
      </c>
      <c r="C4" s="269">
        <v>400</v>
      </c>
      <c r="D4" s="17" t="s">
        <v>29</v>
      </c>
      <c r="E4" s="14"/>
      <c r="F4" s="148">
        <f>C4</f>
        <v>400</v>
      </c>
      <c r="G4" s="18">
        <f>F4*(1+G17)</f>
        <v>412</v>
      </c>
      <c r="H4" s="18">
        <f>G4*(1+H17)</f>
        <v>424.36</v>
      </c>
      <c r="I4" s="18">
        <f>H4*(1+I17)</f>
        <v>437.0908</v>
      </c>
      <c r="J4" s="18">
        <f>I4*(1+J17)</f>
        <v>450.203524</v>
      </c>
      <c r="K4" s="38"/>
      <c r="L4" s="19"/>
      <c r="M4" s="290"/>
      <c r="N4" s="14"/>
      <c r="P4" s="289"/>
      <c r="Q4" s="288"/>
      <c r="R4" s="288"/>
      <c r="S4" s="288"/>
      <c r="T4" s="288"/>
    </row>
    <row r="5" spans="2:20" ht="13.5" customHeight="1">
      <c r="B5" s="23" t="s">
        <v>11</v>
      </c>
      <c r="C5" s="271"/>
      <c r="D5" s="17"/>
      <c r="E5" s="14"/>
      <c r="F5" s="49">
        <v>162</v>
      </c>
      <c r="G5" s="265">
        <f>(G4-G6)</f>
        <v>313.12</v>
      </c>
      <c r="H5" s="265">
        <f>(H4-H6)</f>
        <v>326.7572</v>
      </c>
      <c r="I5" s="265">
        <f>(I4-I6)</f>
        <v>340.93082400000003</v>
      </c>
      <c r="J5" s="265">
        <f>(J4-J6)</f>
        <v>355.66078396</v>
      </c>
      <c r="K5" s="260"/>
      <c r="L5" s="263"/>
      <c r="M5" s="14"/>
      <c r="N5" s="14"/>
      <c r="O5" s="290"/>
      <c r="P5" s="289"/>
      <c r="Q5" s="288"/>
      <c r="R5" s="288"/>
      <c r="S5" s="288"/>
      <c r="T5" s="288"/>
    </row>
    <row r="6" spans="2:16" ht="13.5" customHeight="1">
      <c r="B6" s="15" t="s">
        <v>30</v>
      </c>
      <c r="C6" s="16"/>
      <c r="D6" s="17" t="s">
        <v>31</v>
      </c>
      <c r="E6" s="14"/>
      <c r="F6" s="38">
        <f>F4*F18</f>
        <v>100</v>
      </c>
      <c r="G6" s="38">
        <f>G4*G18</f>
        <v>98.88</v>
      </c>
      <c r="H6" s="38">
        <f>H4*H18</f>
        <v>97.6028</v>
      </c>
      <c r="I6" s="38">
        <f>I4*I18</f>
        <v>96.15997599999999</v>
      </c>
      <c r="J6" s="38">
        <f>J4*J18</f>
        <v>94.54274003999998</v>
      </c>
      <c r="K6" s="38"/>
      <c r="L6" s="19"/>
      <c r="M6" s="28"/>
      <c r="N6" s="29"/>
      <c r="O6" s="21"/>
      <c r="P6" s="22"/>
    </row>
    <row r="7" spans="2:16" ht="13.5" customHeight="1">
      <c r="B7" s="15" t="s">
        <v>273</v>
      </c>
      <c r="C7" s="269">
        <v>20</v>
      </c>
      <c r="D7" s="17" t="s">
        <v>33</v>
      </c>
      <c r="E7" s="14"/>
      <c r="F7" s="266">
        <f>C7</f>
        <v>20</v>
      </c>
      <c r="G7" s="287">
        <f>F7*(1+G19)</f>
        <v>20.6</v>
      </c>
      <c r="H7" s="287">
        <f>G7*(1+H19)</f>
        <v>21.218000000000004</v>
      </c>
      <c r="I7" s="287">
        <f>H7*(1+I19)</f>
        <v>21.854540000000004</v>
      </c>
      <c r="J7" s="287">
        <f>I7*(1+J19)</f>
        <v>22.510176200000004</v>
      </c>
      <c r="K7" s="263"/>
      <c r="L7" s="263"/>
      <c r="M7" s="28"/>
      <c r="N7" s="14"/>
      <c r="O7" s="14"/>
      <c r="P7" s="32"/>
    </row>
    <row r="8" spans="2:16" ht="13.5" customHeight="1">
      <c r="B8" s="15" t="s">
        <v>7</v>
      </c>
      <c r="C8" s="33"/>
      <c r="D8" s="17"/>
      <c r="E8" s="14"/>
      <c r="F8" s="38">
        <f>F6-F7</f>
        <v>80</v>
      </c>
      <c r="G8" s="38">
        <f>G6-G7</f>
        <v>78.28</v>
      </c>
      <c r="H8" s="38">
        <f>H6-H7</f>
        <v>76.3848</v>
      </c>
      <c r="I8" s="38">
        <f>I6-I7</f>
        <v>74.30543599999999</v>
      </c>
      <c r="J8" s="38">
        <f>J6-J7</f>
        <v>72.03256383999998</v>
      </c>
      <c r="K8" s="260"/>
      <c r="L8" s="263"/>
      <c r="M8" s="32"/>
      <c r="N8" s="14"/>
      <c r="O8" s="27"/>
      <c r="P8" s="22"/>
    </row>
    <row r="9" spans="2:16" ht="13.5" customHeight="1">
      <c r="B9" s="23" t="s">
        <v>12</v>
      </c>
      <c r="C9" s="268">
        <v>40</v>
      </c>
      <c r="D9" s="17" t="s">
        <v>33</v>
      </c>
      <c r="E9" s="14"/>
      <c r="F9" s="265">
        <f>$C9</f>
        <v>40</v>
      </c>
      <c r="G9" s="265">
        <f>$C9</f>
        <v>40</v>
      </c>
      <c r="H9" s="265">
        <f>$C9</f>
        <v>40</v>
      </c>
      <c r="I9" s="265">
        <f>$C9</f>
        <v>40</v>
      </c>
      <c r="J9" s="265">
        <f>$C9</f>
        <v>40</v>
      </c>
      <c r="K9" s="260"/>
      <c r="L9" s="263"/>
      <c r="M9" s="32"/>
      <c r="N9" s="14"/>
      <c r="O9" s="21"/>
      <c r="P9" s="267"/>
    </row>
    <row r="10" spans="2:16" ht="13.5" customHeight="1">
      <c r="B10" s="15" t="s">
        <v>36</v>
      </c>
      <c r="C10" s="16"/>
      <c r="D10" s="37"/>
      <c r="E10" s="14"/>
      <c r="F10" s="38">
        <f>F8-F9</f>
        <v>40</v>
      </c>
      <c r="G10" s="38">
        <f>G8-G9</f>
        <v>38.28</v>
      </c>
      <c r="H10" s="38">
        <f>H8-H9</f>
        <v>36.3848</v>
      </c>
      <c r="I10" s="38">
        <f>I8-I9</f>
        <v>34.305435999999986</v>
      </c>
      <c r="J10" s="38">
        <f>J8-J9</f>
        <v>32.03256383999998</v>
      </c>
      <c r="K10" s="38"/>
      <c r="L10" s="19"/>
      <c r="M10" s="32"/>
      <c r="N10" s="14"/>
      <c r="O10" s="27"/>
      <c r="P10" s="22"/>
    </row>
    <row r="11" spans="2:16" s="4" customFormat="1" ht="13.5" customHeight="1">
      <c r="B11" s="39" t="s">
        <v>37</v>
      </c>
      <c r="C11" s="257">
        <v>0.06</v>
      </c>
      <c r="D11" s="17" t="s">
        <v>34</v>
      </c>
      <c r="E11" s="41"/>
      <c r="F11" s="266">
        <f>$C11*E31</f>
        <v>9</v>
      </c>
      <c r="G11" s="266">
        <f>$C11*F31</f>
        <v>9</v>
      </c>
      <c r="H11" s="266">
        <f>$C11*G31</f>
        <v>9</v>
      </c>
      <c r="I11" s="266">
        <f>$C11*H31</f>
        <v>9</v>
      </c>
      <c r="J11" s="266">
        <f>$C11*I31</f>
        <v>9</v>
      </c>
      <c r="K11" s="263"/>
      <c r="L11" s="263"/>
      <c r="M11" s="40"/>
      <c r="N11" s="41"/>
      <c r="O11" s="21"/>
      <c r="P11" s="22"/>
    </row>
    <row r="12" spans="2:16" ht="13.5" customHeight="1">
      <c r="B12" s="15" t="s">
        <v>17</v>
      </c>
      <c r="C12" s="16"/>
      <c r="D12" s="42"/>
      <c r="E12" s="14"/>
      <c r="F12" s="38">
        <f>F10-F11</f>
        <v>31</v>
      </c>
      <c r="G12" s="38">
        <f>G10-G11</f>
        <v>29.28</v>
      </c>
      <c r="H12" s="38">
        <f>H10-H11</f>
        <v>27.3848</v>
      </c>
      <c r="I12" s="38">
        <f>I10-I11</f>
        <v>25.305435999999986</v>
      </c>
      <c r="J12" s="38">
        <f>J10-J11</f>
        <v>23.03256383999998</v>
      </c>
      <c r="K12" s="38"/>
      <c r="L12" s="19"/>
      <c r="M12" s="38"/>
      <c r="N12" s="14"/>
      <c r="O12" s="27"/>
      <c r="P12" s="22"/>
    </row>
    <row r="13" spans="2:16" ht="13.5" customHeight="1">
      <c r="B13" s="23" t="s">
        <v>1</v>
      </c>
      <c r="C13" s="251">
        <v>0.3</v>
      </c>
      <c r="D13" s="17" t="s">
        <v>34</v>
      </c>
      <c r="E13" s="14"/>
      <c r="F13" s="49">
        <f>C13*F12</f>
        <v>9.299999999999999</v>
      </c>
      <c r="G13" s="265">
        <f>$C$13*G12</f>
        <v>8.784</v>
      </c>
      <c r="H13" s="265">
        <f>$C$13*H12</f>
        <v>8.21544</v>
      </c>
      <c r="I13" s="265">
        <f>$C$13*I12</f>
        <v>7.5916307999999955</v>
      </c>
      <c r="J13" s="265">
        <f>$C$13*J12</f>
        <v>6.909769151999994</v>
      </c>
      <c r="K13" s="260"/>
      <c r="L13" s="263"/>
      <c r="M13" s="260"/>
      <c r="N13" s="14"/>
      <c r="O13" s="149"/>
      <c r="P13" s="22"/>
    </row>
    <row r="14" spans="2:16" ht="13.5" customHeight="1">
      <c r="B14" s="15" t="s">
        <v>39</v>
      </c>
      <c r="C14" s="18"/>
      <c r="D14" s="37"/>
      <c r="E14" s="14"/>
      <c r="F14" s="38">
        <f>F12-F13</f>
        <v>21.700000000000003</v>
      </c>
      <c r="G14" s="264">
        <f>G12-G13</f>
        <v>20.496000000000002</v>
      </c>
      <c r="H14" s="264">
        <f>H12-H13</f>
        <v>19.169359999999998</v>
      </c>
      <c r="I14" s="264">
        <f>I12-I13</f>
        <v>17.71380519999999</v>
      </c>
      <c r="J14" s="264">
        <f>J12-J13</f>
        <v>16.122794687999985</v>
      </c>
      <c r="K14" s="260"/>
      <c r="L14" s="263"/>
      <c r="M14" s="260"/>
      <c r="N14" s="14"/>
      <c r="O14" s="21"/>
      <c r="P14" s="45"/>
    </row>
    <row r="15" spans="2:16" ht="15.75" customHeight="1">
      <c r="B15" s="15"/>
      <c r="C15" s="18"/>
      <c r="D15" s="37"/>
      <c r="E15" s="38"/>
      <c r="F15" s="38"/>
      <c r="G15" s="262"/>
      <c r="H15" s="262"/>
      <c r="I15" s="262"/>
      <c r="J15" s="262"/>
      <c r="K15" s="261"/>
      <c r="L15" s="260"/>
      <c r="M15" s="14"/>
      <c r="N15" s="14"/>
      <c r="P15" s="22"/>
    </row>
    <row r="16" spans="2:16" ht="13.5" customHeight="1" thickBot="1">
      <c r="B16" s="183" t="s">
        <v>40</v>
      </c>
      <c r="C16" s="184"/>
      <c r="D16" s="47"/>
      <c r="E16" s="258"/>
      <c r="F16" s="259"/>
      <c r="G16" s="49"/>
      <c r="H16" s="51"/>
      <c r="I16" s="193"/>
      <c r="J16" s="49"/>
      <c r="K16" s="286" t="s">
        <v>42</v>
      </c>
      <c r="M16" s="14"/>
      <c r="N16" s="14"/>
      <c r="O16" s="43"/>
      <c r="P16" s="22"/>
    </row>
    <row r="17" spans="2:18" ht="13.5" customHeight="1">
      <c r="B17" s="52" t="s">
        <v>43</v>
      </c>
      <c r="C17" s="257">
        <v>0.03</v>
      </c>
      <c r="D17" s="17" t="s">
        <v>29</v>
      </c>
      <c r="E17" s="14"/>
      <c r="F17" s="242" t="s">
        <v>10</v>
      </c>
      <c r="G17" s="241">
        <f>$C17</f>
        <v>0.03</v>
      </c>
      <c r="H17" s="241">
        <f>$C17</f>
        <v>0.03</v>
      </c>
      <c r="I17" s="241">
        <f>$C17</f>
        <v>0.03</v>
      </c>
      <c r="J17" s="241">
        <f>$C17</f>
        <v>0.03</v>
      </c>
      <c r="K17" s="53">
        <f>AVERAGE(G17:K17)</f>
        <v>0.03</v>
      </c>
      <c r="M17" s="14"/>
      <c r="N17" s="255" t="s">
        <v>77</v>
      </c>
      <c r="O17" s="4" t="s">
        <v>78</v>
      </c>
      <c r="P17" s="4" t="s">
        <v>79</v>
      </c>
      <c r="Q17" s="94" t="s">
        <v>80</v>
      </c>
      <c r="R17" s="4" t="s">
        <v>81</v>
      </c>
    </row>
    <row r="18" spans="2:20" ht="13.5" customHeight="1">
      <c r="B18" s="52" t="s">
        <v>44</v>
      </c>
      <c r="C18" s="251">
        <v>-0.01</v>
      </c>
      <c r="D18" s="17" t="s">
        <v>31</v>
      </c>
      <c r="E18" s="14"/>
      <c r="F18" s="285">
        <v>0.25</v>
      </c>
      <c r="G18" s="284">
        <f>F18+$C18</f>
        <v>0.24</v>
      </c>
      <c r="H18" s="284">
        <f>G18+$C18</f>
        <v>0.22999999999999998</v>
      </c>
      <c r="I18" s="284">
        <f>H18+$C18</f>
        <v>0.21999999999999997</v>
      </c>
      <c r="J18" s="284">
        <f>I18+$C18</f>
        <v>0.20999999999999996</v>
      </c>
      <c r="K18" s="53">
        <f>AVERAGE(F18:K18)</f>
        <v>0.22999999999999998</v>
      </c>
      <c r="M18" s="14"/>
      <c r="N18" s="29">
        <f>O18+P18*(Q18-R18)</f>
        <v>0.4866666666666666</v>
      </c>
      <c r="O18" s="248">
        <f>F23</f>
        <v>0.16666666666666666</v>
      </c>
      <c r="P18" s="248">
        <f>E31/E32</f>
        <v>3</v>
      </c>
      <c r="Q18" s="248">
        <f>O18</f>
        <v>0.16666666666666666</v>
      </c>
      <c r="R18" s="248">
        <f>C11</f>
        <v>0.06</v>
      </c>
      <c r="S18" s="246" t="s">
        <v>82</v>
      </c>
      <c r="T18" s="248"/>
    </row>
    <row r="19" spans="2:19" ht="13.5" customHeight="1">
      <c r="B19" s="52" t="s">
        <v>76</v>
      </c>
      <c r="C19" s="251">
        <v>0.03</v>
      </c>
      <c r="D19" s="17" t="s">
        <v>33</v>
      </c>
      <c r="E19" s="14"/>
      <c r="F19" s="245" t="s">
        <v>10</v>
      </c>
      <c r="G19" s="283">
        <f>$C19</f>
        <v>0.03</v>
      </c>
      <c r="H19" s="283">
        <f>$C19</f>
        <v>0.03</v>
      </c>
      <c r="I19" s="283">
        <f>$C19</f>
        <v>0.03</v>
      </c>
      <c r="J19" s="283">
        <f>$C19</f>
        <v>0.03</v>
      </c>
      <c r="K19" s="53">
        <f>AVERAGE(G19:K19)</f>
        <v>0.03</v>
      </c>
      <c r="M19" s="14"/>
      <c r="N19" s="29">
        <f>O19+P19*(Q19-R19)</f>
        <v>0.3406666666666666</v>
      </c>
      <c r="O19" s="247">
        <f>O18*0.7</f>
        <v>0.11666666666666665</v>
      </c>
      <c r="P19" s="7">
        <f>P18</f>
        <v>3</v>
      </c>
      <c r="Q19" s="248">
        <f>O19</f>
        <v>0.11666666666666665</v>
      </c>
      <c r="R19" s="247">
        <f>R18*0.7</f>
        <v>0.041999999999999996</v>
      </c>
      <c r="S19" s="246" t="s">
        <v>83</v>
      </c>
    </row>
    <row r="20" spans="2:14" ht="13.5" customHeight="1">
      <c r="B20" s="52" t="s">
        <v>45</v>
      </c>
      <c r="C20" s="57"/>
      <c r="D20" s="242"/>
      <c r="E20" s="14"/>
      <c r="F20" s="245">
        <f>F8/F4</f>
        <v>0.2</v>
      </c>
      <c r="G20" s="244">
        <f>G8/G4</f>
        <v>0.19</v>
      </c>
      <c r="H20" s="244">
        <f>H8/H4</f>
        <v>0.18</v>
      </c>
      <c r="I20" s="244">
        <f>I8/I4</f>
        <v>0.16999999999999996</v>
      </c>
      <c r="J20" s="244">
        <f>J8/J4</f>
        <v>0.15999999999999995</v>
      </c>
      <c r="K20" s="53">
        <f>AVERAGE(F20:K20)</f>
        <v>0.17999999999999997</v>
      </c>
      <c r="M20" s="14"/>
      <c r="N20" s="14"/>
    </row>
    <row r="21" spans="2:14" ht="13.5" customHeight="1">
      <c r="B21" s="52" t="s">
        <v>46</v>
      </c>
      <c r="C21" s="57"/>
      <c r="D21" s="57"/>
      <c r="E21" s="14"/>
      <c r="F21" s="242">
        <f>F14/F4</f>
        <v>0.05425000000000001</v>
      </c>
      <c r="G21" s="243">
        <f>G14/G4</f>
        <v>0.049747572815533984</v>
      </c>
      <c r="H21" s="243">
        <f>H14/H4</f>
        <v>0.04517240079178056</v>
      </c>
      <c r="I21" s="243">
        <f>I14/I4</f>
        <v>0.04052660271046654</v>
      </c>
      <c r="J21" s="243">
        <f>J14/J4</f>
        <v>0.035812235641229644</v>
      </c>
      <c r="K21" s="53">
        <f>AVERAGE(G21:K21)</f>
        <v>0.042814702989752686</v>
      </c>
      <c r="M21" s="14"/>
      <c r="N21" s="14"/>
    </row>
    <row r="22" spans="2:16" ht="13.5" customHeight="1">
      <c r="B22" s="52" t="s">
        <v>47</v>
      </c>
      <c r="C22" s="18"/>
      <c r="D22" s="33"/>
      <c r="E22" s="14"/>
      <c r="F22" s="242">
        <f>F14/E32</f>
        <v>0.43400000000000005</v>
      </c>
      <c r="G22" s="242">
        <f>G14/F32</f>
        <v>0.28585774058577407</v>
      </c>
      <c r="H22" s="242">
        <f>H14/G32</f>
        <v>0.20791964944249205</v>
      </c>
      <c r="I22" s="242">
        <f>I14/H32</f>
        <v>0.15906027870784945</v>
      </c>
      <c r="J22" s="242">
        <f>J14/I32</f>
        <v>0.12490625162487484</v>
      </c>
      <c r="K22" s="53">
        <f>AVERAGE(F22:K22)</f>
        <v>0.2423487840721981</v>
      </c>
      <c r="M22" s="14"/>
      <c r="N22" s="14"/>
      <c r="P22" s="7"/>
    </row>
    <row r="23" spans="2:16" ht="13.5" customHeight="1">
      <c r="B23" s="52" t="s">
        <v>75</v>
      </c>
      <c r="C23" s="18"/>
      <c r="D23" s="33"/>
      <c r="E23" s="14"/>
      <c r="F23" s="242">
        <f>F10/F29</f>
        <v>0.16666666666666666</v>
      </c>
      <c r="G23" s="242">
        <f>G10/F29</f>
        <v>0.1595</v>
      </c>
      <c r="H23" s="242">
        <f>H10/G29</f>
        <v>0.1797667984189723</v>
      </c>
      <c r="I23" s="242">
        <f>I10/H29</f>
        <v>0.2080731476539375</v>
      </c>
      <c r="J23" s="242">
        <f>J10/I29</f>
        <v>0.2513971622255413</v>
      </c>
      <c r="K23" s="53">
        <f>AVERAGE(G23:K23)</f>
        <v>0.19968427707461278</v>
      </c>
      <c r="M23" s="14"/>
      <c r="N23" s="14"/>
      <c r="P23" s="7"/>
    </row>
    <row r="24" spans="2:16" ht="13.5" customHeight="1">
      <c r="B24" s="52"/>
      <c r="C24" s="18"/>
      <c r="D24" s="33"/>
      <c r="E24" s="242"/>
      <c r="F24" s="242"/>
      <c r="G24" s="242"/>
      <c r="H24" s="242"/>
      <c r="I24" s="242"/>
      <c r="J24" s="242"/>
      <c r="K24" s="242"/>
      <c r="L24" s="241"/>
      <c r="M24" s="14"/>
      <c r="N24" s="14"/>
      <c r="P24" s="7"/>
    </row>
    <row r="25" spans="2:15" ht="13.5" customHeight="1">
      <c r="B25" s="52"/>
      <c r="C25" s="65"/>
      <c r="D25" s="66"/>
      <c r="E25" s="282"/>
      <c r="F25" s="146"/>
      <c r="G25" s="66"/>
      <c r="H25" s="67"/>
      <c r="J25" s="66"/>
      <c r="K25" s="66"/>
      <c r="L25" s="68"/>
      <c r="M25" s="14"/>
      <c r="N25" s="14"/>
      <c r="O25" s="69"/>
    </row>
    <row r="26" spans="2:18" ht="13.5" customHeight="1" thickBot="1">
      <c r="B26" s="182" t="s">
        <v>132</v>
      </c>
      <c r="C26" s="70"/>
      <c r="D26" s="12" t="s">
        <v>28</v>
      </c>
      <c r="E26" s="71">
        <f>F26-1</f>
        <v>2012</v>
      </c>
      <c r="F26" s="71">
        <f>F3</f>
        <v>2013</v>
      </c>
      <c r="G26" s="71">
        <f>G3</f>
        <v>2014</v>
      </c>
      <c r="H26" s="71">
        <f>H3</f>
        <v>2015</v>
      </c>
      <c r="I26" s="71">
        <f>I3</f>
        <v>2016</v>
      </c>
      <c r="J26" s="71">
        <f>J3</f>
        <v>2017</v>
      </c>
      <c r="K26" s="72"/>
      <c r="L26" s="72"/>
      <c r="M26" s="28"/>
      <c r="N26" s="14"/>
      <c r="O26" s="73"/>
      <c r="P26" s="74"/>
      <c r="Q26" s="13"/>
      <c r="R26" s="75"/>
    </row>
    <row r="27" spans="2:18" ht="13.5" customHeight="1">
      <c r="B27" s="23" t="s">
        <v>2</v>
      </c>
      <c r="C27" s="257">
        <v>0.2</v>
      </c>
      <c r="D27" s="17" t="s">
        <v>35</v>
      </c>
      <c r="E27" s="19"/>
      <c r="F27" s="38">
        <f>$C27*F4</f>
        <v>80</v>
      </c>
      <c r="G27" s="38">
        <f>$C27*G4</f>
        <v>82.4</v>
      </c>
      <c r="H27" s="38">
        <f>$C27*H4</f>
        <v>84.87200000000001</v>
      </c>
      <c r="I27" s="38">
        <f>$C27*I4</f>
        <v>87.41816</v>
      </c>
      <c r="J27" s="38">
        <v>0</v>
      </c>
      <c r="K27" s="19"/>
      <c r="L27" s="19"/>
      <c r="M27" s="28"/>
      <c r="O27" s="27"/>
      <c r="P27" s="239"/>
      <c r="Q27" s="77"/>
      <c r="R27" s="22"/>
    </row>
    <row r="28" spans="2:18" ht="13.5" customHeight="1">
      <c r="B28" s="23" t="s">
        <v>49</v>
      </c>
      <c r="C28" s="158">
        <v>0</v>
      </c>
      <c r="D28" s="17" t="s">
        <v>35</v>
      </c>
      <c r="E28" s="224">
        <v>200</v>
      </c>
      <c r="F28" s="79">
        <f>E28-F9+$C28</f>
        <v>160</v>
      </c>
      <c r="G28" s="79">
        <f>F28-G9+$C28</f>
        <v>120</v>
      </c>
      <c r="H28" s="79">
        <f>G28-H9+$C28</f>
        <v>80</v>
      </c>
      <c r="I28" s="79">
        <f>H28-I9+$C28</f>
        <v>40</v>
      </c>
      <c r="J28" s="79">
        <v>0</v>
      </c>
      <c r="K28" s="19"/>
      <c r="L28" s="19"/>
      <c r="M28" s="28"/>
      <c r="O28" s="27"/>
      <c r="Q28" s="77"/>
      <c r="R28" s="22"/>
    </row>
    <row r="29" spans="2:18" ht="13.5" customHeight="1">
      <c r="B29" s="15" t="s">
        <v>50</v>
      </c>
      <c r="C29" s="18"/>
      <c r="D29" s="58"/>
      <c r="E29" s="38">
        <f aca="true" t="shared" si="0" ref="E29:J29">E27+E28</f>
        <v>200</v>
      </c>
      <c r="F29" s="38">
        <f t="shared" si="0"/>
        <v>240</v>
      </c>
      <c r="G29" s="38">
        <f t="shared" si="0"/>
        <v>202.4</v>
      </c>
      <c r="H29" s="38">
        <f t="shared" si="0"/>
        <v>164.872</v>
      </c>
      <c r="I29" s="38">
        <f t="shared" si="0"/>
        <v>127.41816</v>
      </c>
      <c r="J29" s="38">
        <f t="shared" si="0"/>
        <v>0</v>
      </c>
      <c r="K29" s="19"/>
      <c r="L29" s="19"/>
      <c r="P29" s="22"/>
      <c r="Q29" s="77"/>
      <c r="R29" s="22"/>
    </row>
    <row r="30" spans="2:18" ht="6.75" customHeight="1">
      <c r="B30" s="23"/>
      <c r="C30" s="18"/>
      <c r="D30" s="18"/>
      <c r="E30" s="19"/>
      <c r="F30" s="38"/>
      <c r="G30" s="18"/>
      <c r="H30" s="18"/>
      <c r="I30" s="18"/>
      <c r="J30" s="18"/>
      <c r="K30" s="19"/>
      <c r="L30" s="19"/>
      <c r="O30" s="27"/>
      <c r="P30" s="80"/>
      <c r="Q30" s="77"/>
      <c r="R30" s="22"/>
    </row>
    <row r="31" spans="2:18" ht="13.5" customHeight="1">
      <c r="B31" s="23" t="s">
        <v>247</v>
      </c>
      <c r="C31" s="81"/>
      <c r="D31" s="17" t="s">
        <v>38</v>
      </c>
      <c r="E31" s="225">
        <v>150</v>
      </c>
      <c r="F31" s="19">
        <f>E31</f>
        <v>150</v>
      </c>
      <c r="G31" s="19">
        <f>F31</f>
        <v>150</v>
      </c>
      <c r="H31" s="19">
        <f>G31</f>
        <v>150</v>
      </c>
      <c r="I31" s="19">
        <f>H31</f>
        <v>150</v>
      </c>
      <c r="J31" s="38">
        <f>IF(J32&gt;J29,0,J29-J32)</f>
        <v>0</v>
      </c>
      <c r="K31" s="19"/>
      <c r="L31" s="19"/>
      <c r="N31" s="35"/>
      <c r="O31" s="27"/>
      <c r="P31" s="80"/>
      <c r="Q31" s="77"/>
      <c r="R31" s="22"/>
    </row>
    <row r="32" spans="2:18" ht="13.5" customHeight="1">
      <c r="B32" s="23" t="s">
        <v>246</v>
      </c>
      <c r="C32" s="82"/>
      <c r="D32" s="17" t="s">
        <v>48</v>
      </c>
      <c r="E32" s="224">
        <v>50</v>
      </c>
      <c r="F32" s="79">
        <f>E32+F14</f>
        <v>71.7</v>
      </c>
      <c r="G32" s="79">
        <f>F32+G14</f>
        <v>92.196</v>
      </c>
      <c r="H32" s="49">
        <f>G32+H14</f>
        <v>111.36536</v>
      </c>
      <c r="I32" s="49">
        <f>H32+I14</f>
        <v>129.07916519999998</v>
      </c>
      <c r="J32" s="49">
        <f>I32+J14</f>
        <v>145.20195988799998</v>
      </c>
      <c r="K32" s="19"/>
      <c r="L32" s="19"/>
      <c r="N32" s="35"/>
      <c r="O32" s="21"/>
      <c r="P32" s="22"/>
      <c r="Q32" s="77"/>
      <c r="R32" s="22"/>
    </row>
    <row r="33" spans="2:18" ht="12" customHeight="1">
      <c r="B33" s="15" t="s">
        <v>53</v>
      </c>
      <c r="C33" s="18"/>
      <c r="D33" s="18"/>
      <c r="E33" s="18">
        <f aca="true" t="shared" si="1" ref="E33:J33">E32+E31</f>
        <v>200</v>
      </c>
      <c r="F33" s="18">
        <f t="shared" si="1"/>
        <v>221.7</v>
      </c>
      <c r="G33" s="18">
        <f t="shared" si="1"/>
        <v>242.196</v>
      </c>
      <c r="H33" s="18">
        <f t="shared" si="1"/>
        <v>261.36536</v>
      </c>
      <c r="I33" s="18">
        <f t="shared" si="1"/>
        <v>279.0791652</v>
      </c>
      <c r="J33" s="18">
        <f t="shared" si="1"/>
        <v>145.20195988799998</v>
      </c>
      <c r="K33" s="19"/>
      <c r="L33" s="19"/>
      <c r="N33" s="35"/>
      <c r="O33" s="27"/>
      <c r="P33" s="22"/>
      <c r="Q33" s="77"/>
      <c r="R33" s="22"/>
    </row>
    <row r="34" spans="3:18" ht="19.5" customHeight="1">
      <c r="C34" s="281" t="s">
        <v>245</v>
      </c>
      <c r="D34" s="17" t="s">
        <v>68</v>
      </c>
      <c r="E34" s="38">
        <f aca="true" t="shared" si="2" ref="E34:J34">E33-E29</f>
        <v>0</v>
      </c>
      <c r="F34" s="38">
        <f t="shared" si="2"/>
        <v>-18.30000000000001</v>
      </c>
      <c r="G34" s="38">
        <f t="shared" si="2"/>
        <v>39.79599999999999</v>
      </c>
      <c r="H34" s="38">
        <f t="shared" si="2"/>
        <v>96.49336</v>
      </c>
      <c r="I34" s="38">
        <f t="shared" si="2"/>
        <v>151.66100519999998</v>
      </c>
      <c r="J34" s="38">
        <f t="shared" si="2"/>
        <v>145.20195988799998</v>
      </c>
      <c r="K34" s="19"/>
      <c r="L34" s="19"/>
      <c r="N34" s="35"/>
      <c r="O34" s="27"/>
      <c r="P34" s="22"/>
      <c r="Q34" s="22"/>
      <c r="R34" s="14"/>
    </row>
    <row r="35" spans="3:16" ht="12.75" customHeight="1">
      <c r="C35" s="281" t="s">
        <v>55</v>
      </c>
      <c r="D35" s="17" t="s">
        <v>68</v>
      </c>
      <c r="E35" s="19"/>
      <c r="F35" s="38">
        <f>F34-E34</f>
        <v>-18.30000000000001</v>
      </c>
      <c r="G35" s="38">
        <f>G34-F34</f>
        <v>58.096000000000004</v>
      </c>
      <c r="H35" s="38">
        <f>H34-G34</f>
        <v>56.69736</v>
      </c>
      <c r="I35" s="38">
        <f>I34-H34</f>
        <v>55.16764519999998</v>
      </c>
      <c r="J35" s="38">
        <f>J34-I34</f>
        <v>-6.459045312000001</v>
      </c>
      <c r="K35" s="19"/>
      <c r="L35" s="19"/>
      <c r="N35" s="35"/>
      <c r="P35" s="22"/>
    </row>
    <row r="36" spans="2:16" ht="12.75" customHeight="1">
      <c r="B36" s="83"/>
      <c r="C36" s="3"/>
      <c r="D36" s="84"/>
      <c r="E36" s="22"/>
      <c r="F36" s="22"/>
      <c r="G36" s="22"/>
      <c r="H36" s="22"/>
      <c r="I36" s="22"/>
      <c r="J36" s="22"/>
      <c r="K36" s="22"/>
      <c r="L36" s="85"/>
      <c r="N36" s="35"/>
      <c r="P36" s="22"/>
    </row>
    <row r="37" spans="2:14" ht="12.75" customHeight="1">
      <c r="B37" s="83"/>
      <c r="C37" s="3"/>
      <c r="D37" s="84"/>
      <c r="E37" s="22"/>
      <c r="F37" s="22"/>
      <c r="G37" s="22"/>
      <c r="H37" s="22"/>
      <c r="I37" s="22"/>
      <c r="J37" s="22"/>
      <c r="K37" s="22"/>
      <c r="N37" s="35"/>
    </row>
    <row r="38" spans="1:14" ht="12.75" customHeight="1" thickBot="1">
      <c r="A38" s="86"/>
      <c r="B38" s="87" t="s">
        <v>56</v>
      </c>
      <c r="C38" s="88"/>
      <c r="D38" s="89"/>
      <c r="E38" s="226"/>
      <c r="F38" s="226"/>
      <c r="G38" s="226"/>
      <c r="H38" s="90"/>
      <c r="I38" s="22"/>
      <c r="J38" s="22"/>
      <c r="K38" s="22"/>
      <c r="N38" s="35"/>
    </row>
    <row r="39" spans="1:14" ht="12.75" customHeight="1">
      <c r="A39" s="86"/>
      <c r="B39" s="85" t="s">
        <v>142</v>
      </c>
      <c r="C39" s="91"/>
      <c r="D39" s="92"/>
      <c r="E39" s="227"/>
      <c r="F39" s="227"/>
      <c r="G39" s="85"/>
      <c r="H39" s="77"/>
      <c r="I39" s="22"/>
      <c r="J39" s="22"/>
      <c r="L39" s="77"/>
      <c r="N39" s="35"/>
    </row>
    <row r="40" spans="1:14" ht="12.75" customHeight="1">
      <c r="A40" s="93" t="s">
        <v>29</v>
      </c>
      <c r="B40" s="94" t="s">
        <v>244</v>
      </c>
      <c r="C40" s="91"/>
      <c r="D40" s="92"/>
      <c r="E40" s="227"/>
      <c r="F40" s="227"/>
      <c r="G40" s="85"/>
      <c r="H40" s="77"/>
      <c r="I40" s="22"/>
      <c r="J40" s="22"/>
      <c r="L40" s="77"/>
      <c r="N40" s="35"/>
    </row>
    <row r="41" spans="1:14" ht="12.75" customHeight="1">
      <c r="A41" s="93" t="s">
        <v>29</v>
      </c>
      <c r="B41" s="94" t="s">
        <v>243</v>
      </c>
      <c r="C41" s="95"/>
      <c r="E41" s="22"/>
      <c r="F41" s="22"/>
      <c r="G41" s="22"/>
      <c r="H41" s="22"/>
      <c r="I41" s="22"/>
      <c r="J41" s="22"/>
      <c r="K41" s="22"/>
      <c r="N41" s="35"/>
    </row>
    <row r="42" spans="1:14" ht="12.75" customHeight="1">
      <c r="A42" s="93" t="s">
        <v>57</v>
      </c>
      <c r="B42" s="94" t="s">
        <v>242</v>
      </c>
      <c r="C42" s="95"/>
      <c r="D42" s="86"/>
      <c r="E42" s="22"/>
      <c r="F42" s="22"/>
      <c r="G42" s="22"/>
      <c r="H42" s="22"/>
      <c r="I42" s="22"/>
      <c r="J42" s="22"/>
      <c r="K42" s="22"/>
      <c r="N42" s="35"/>
    </row>
    <row r="43" spans="1:14" ht="12.75" customHeight="1">
      <c r="A43" s="93" t="s">
        <v>58</v>
      </c>
      <c r="B43" s="94" t="s">
        <v>241</v>
      </c>
      <c r="C43" s="95"/>
      <c r="D43" s="86"/>
      <c r="E43" s="22"/>
      <c r="F43" s="22"/>
      <c r="G43" s="22"/>
      <c r="H43" s="22"/>
      <c r="I43" s="22"/>
      <c r="J43" s="22"/>
      <c r="K43" s="22"/>
      <c r="N43" s="35"/>
    </row>
    <row r="44" spans="1:14" ht="12.75" customHeight="1">
      <c r="A44" s="93" t="s">
        <v>34</v>
      </c>
      <c r="B44" s="94" t="s">
        <v>240</v>
      </c>
      <c r="D44" s="96"/>
      <c r="E44" s="97"/>
      <c r="F44" s="97"/>
      <c r="G44" s="22"/>
      <c r="H44" s="22"/>
      <c r="I44" s="22"/>
      <c r="J44" s="22"/>
      <c r="K44" s="22"/>
      <c r="N44" s="35"/>
    </row>
    <row r="45" spans="1:14" ht="12.75" customHeight="1">
      <c r="A45" s="93" t="s">
        <v>35</v>
      </c>
      <c r="B45" s="94" t="s">
        <v>239</v>
      </c>
      <c r="D45" s="96"/>
      <c r="E45" s="97"/>
      <c r="F45" s="97"/>
      <c r="G45" s="22"/>
      <c r="H45" s="22"/>
      <c r="I45" s="22"/>
      <c r="J45" s="22"/>
      <c r="K45" s="22"/>
      <c r="N45" s="35"/>
    </row>
    <row r="46" spans="1:14" ht="12.75" customHeight="1">
      <c r="A46" s="93" t="s">
        <v>35</v>
      </c>
      <c r="B46" s="3" t="s">
        <v>238</v>
      </c>
      <c r="D46" s="96"/>
      <c r="E46" s="97"/>
      <c r="F46" s="97"/>
      <c r="G46" s="22"/>
      <c r="H46" s="22"/>
      <c r="I46" s="22"/>
      <c r="J46" s="22"/>
      <c r="K46" s="22"/>
      <c r="N46" s="35"/>
    </row>
    <row r="47" spans="1:14" ht="12.75" customHeight="1">
      <c r="A47" s="93" t="s">
        <v>38</v>
      </c>
      <c r="B47" s="3" t="s">
        <v>237</v>
      </c>
      <c r="C47" s="97"/>
      <c r="D47" s="96"/>
      <c r="E47" s="97"/>
      <c r="F47" s="97"/>
      <c r="G47" s="22"/>
      <c r="H47" s="22"/>
      <c r="I47" s="22"/>
      <c r="J47" s="22"/>
      <c r="K47" s="22"/>
      <c r="N47" s="35"/>
    </row>
    <row r="48" spans="1:14" ht="12.75" customHeight="1">
      <c r="A48" s="93" t="s">
        <v>48</v>
      </c>
      <c r="B48" s="3" t="s">
        <v>236</v>
      </c>
      <c r="I48" s="22"/>
      <c r="J48" s="22"/>
      <c r="K48" s="22"/>
      <c r="N48" s="35"/>
    </row>
    <row r="49" spans="1:2" ht="12.75" customHeight="1">
      <c r="A49" s="93" t="s">
        <v>68</v>
      </c>
      <c r="B49" s="3" t="s">
        <v>59</v>
      </c>
    </row>
    <row r="50" spans="3:14" ht="12.75" customHeight="1">
      <c r="C50" s="3"/>
      <c r="D50" s="84"/>
      <c r="E50" s="22"/>
      <c r="F50" s="22"/>
      <c r="G50" s="22"/>
      <c r="H50" s="22"/>
      <c r="I50" s="22"/>
      <c r="J50" s="22"/>
      <c r="K50" s="22"/>
      <c r="N50" s="35"/>
    </row>
    <row r="51" spans="3:14" ht="12.75" customHeight="1">
      <c r="C51" s="3"/>
      <c r="D51" s="84"/>
      <c r="E51" s="22"/>
      <c r="F51" s="22"/>
      <c r="G51" s="22"/>
      <c r="N51" s="35"/>
    </row>
    <row r="52" spans="7:14" ht="12.75" customHeight="1">
      <c r="G52" s="98"/>
      <c r="I52" s="99"/>
      <c r="J52" s="99"/>
      <c r="K52" s="4" t="s">
        <v>274</v>
      </c>
      <c r="N52" s="35"/>
    </row>
    <row r="53" spans="2:14" ht="27" customHeight="1">
      <c r="B53" s="100"/>
      <c r="C53" s="101"/>
      <c r="D53" s="101"/>
      <c r="F53" s="5" t="s">
        <v>97</v>
      </c>
      <c r="H53" s="238"/>
      <c r="L53" s="4"/>
      <c r="N53" s="58"/>
    </row>
    <row r="54" spans="5:14" s="86" customFormat="1" ht="13.5" customHeight="1">
      <c r="E54" s="28"/>
      <c r="F54" s="28"/>
      <c r="G54" s="28"/>
      <c r="H54" s="28"/>
      <c r="I54" s="28"/>
      <c r="J54" s="28"/>
      <c r="K54" s="28"/>
      <c r="N54" s="58"/>
    </row>
    <row r="55" spans="2:14" s="86" customFormat="1" ht="13.5" customHeight="1">
      <c r="B55" s="103"/>
      <c r="C55" s="104"/>
      <c r="D55" s="105"/>
      <c r="E55" s="162">
        <f aca="true" t="shared" si="3" ref="E55:J55">E26</f>
        <v>2012</v>
      </c>
      <c r="F55" s="162">
        <f t="shared" si="3"/>
        <v>2013</v>
      </c>
      <c r="G55" s="162">
        <f t="shared" si="3"/>
        <v>2014</v>
      </c>
      <c r="H55" s="162">
        <f t="shared" si="3"/>
        <v>2015</v>
      </c>
      <c r="I55" s="162">
        <f t="shared" si="3"/>
        <v>2016</v>
      </c>
      <c r="J55" s="162">
        <f t="shared" si="3"/>
        <v>2017</v>
      </c>
      <c r="K55" s="72"/>
      <c r="L55" s="106"/>
      <c r="M55" s="107" t="s">
        <v>60</v>
      </c>
      <c r="N55" s="31"/>
    </row>
    <row r="56" spans="2:14" s="86" customFormat="1" ht="13.5" customHeight="1" thickBot="1">
      <c r="B56" s="89" t="s">
        <v>87</v>
      </c>
      <c r="C56" s="184"/>
      <c r="D56" s="68"/>
      <c r="E56" s="171">
        <v>0</v>
      </c>
      <c r="F56" s="171">
        <v>1</v>
      </c>
      <c r="G56" s="171">
        <v>2</v>
      </c>
      <c r="H56" s="171">
        <v>3</v>
      </c>
      <c r="I56" s="171">
        <v>4</v>
      </c>
      <c r="J56" s="171">
        <v>5</v>
      </c>
      <c r="K56" s="72"/>
      <c r="L56" s="72"/>
      <c r="M56" s="6" t="s">
        <v>22</v>
      </c>
      <c r="N56" s="6" t="s">
        <v>62</v>
      </c>
    </row>
    <row r="57" spans="2:14" s="86" customFormat="1" ht="13.5" customHeight="1">
      <c r="B57" s="23" t="s">
        <v>61</v>
      </c>
      <c r="C57" s="108"/>
      <c r="D57" s="17" t="s">
        <v>29</v>
      </c>
      <c r="E57" s="19">
        <f>-E29</f>
        <v>-200</v>
      </c>
      <c r="F57" s="18">
        <f>E29-F29</f>
        <v>-40</v>
      </c>
      <c r="G57" s="18">
        <f>F29-G29</f>
        <v>37.599999999999994</v>
      </c>
      <c r="H57" s="18">
        <f>G29-H29</f>
        <v>37.52799999999999</v>
      </c>
      <c r="I57" s="18">
        <f>H29-I29</f>
        <v>37.453840000000014</v>
      </c>
      <c r="J57" s="18">
        <f>I29-J29</f>
        <v>127.41816</v>
      </c>
      <c r="K57" s="19"/>
      <c r="L57" s="109"/>
      <c r="M57" s="110">
        <v>0.2</v>
      </c>
      <c r="N57" s="110">
        <v>0</v>
      </c>
    </row>
    <row r="58" spans="2:14" s="86" customFormat="1" ht="13.5" customHeight="1">
      <c r="B58" s="170" t="s">
        <v>89</v>
      </c>
      <c r="C58" s="108"/>
      <c r="D58" s="17"/>
      <c r="E58" s="79"/>
      <c r="F58" s="172">
        <f>F10</f>
        <v>40</v>
      </c>
      <c r="G58" s="172">
        <f>G10</f>
        <v>38.28</v>
      </c>
      <c r="H58" s="172">
        <f>H10</f>
        <v>36.3848</v>
      </c>
      <c r="I58" s="172">
        <f>I10</f>
        <v>34.305435999999986</v>
      </c>
      <c r="J58" s="172">
        <f>J10</f>
        <v>32.03256383999998</v>
      </c>
      <c r="K58" s="19"/>
      <c r="L58" s="109"/>
      <c r="M58" s="95" t="s">
        <v>15</v>
      </c>
      <c r="N58" s="111">
        <f>J10</f>
        <v>32.03256383999998</v>
      </c>
    </row>
    <row r="59" spans="2:14" s="86" customFormat="1" ht="13.5" customHeight="1">
      <c r="B59" s="113" t="s">
        <v>90</v>
      </c>
      <c r="C59" s="108"/>
      <c r="D59" s="17"/>
      <c r="E59" s="82">
        <f aca="true" t="shared" si="4" ref="E59:J59">E57+E58</f>
        <v>-200</v>
      </c>
      <c r="F59" s="82">
        <f t="shared" si="4"/>
        <v>0</v>
      </c>
      <c r="G59" s="82">
        <f t="shared" si="4"/>
        <v>75.88</v>
      </c>
      <c r="H59" s="82">
        <f t="shared" si="4"/>
        <v>73.91279999999999</v>
      </c>
      <c r="I59" s="82">
        <f t="shared" si="4"/>
        <v>71.759276</v>
      </c>
      <c r="J59" s="82">
        <f t="shared" si="4"/>
        <v>159.45072383999997</v>
      </c>
      <c r="K59" s="106"/>
      <c r="L59" s="104"/>
      <c r="M59" s="4" t="s">
        <v>114</v>
      </c>
      <c r="N59" s="112">
        <f>N58/(M57-N57)</f>
        <v>160.1628191999999</v>
      </c>
    </row>
    <row r="60" spans="2:16" s="86" customFormat="1" ht="21" customHeight="1">
      <c r="B60" s="113" t="s">
        <v>93</v>
      </c>
      <c r="C60" s="108"/>
      <c r="D60" s="58"/>
      <c r="E60" s="175">
        <f>E57+E58*(1-$C$13)</f>
        <v>-200</v>
      </c>
      <c r="F60" s="175">
        <f>F57+F58*(1-$C$13)</f>
        <v>-12</v>
      </c>
      <c r="G60" s="175">
        <f>G57+G58*(1-$C$13)</f>
        <v>64.39599999999999</v>
      </c>
      <c r="H60" s="175">
        <f>H57+H58*0.7</f>
        <v>62.997359999999986</v>
      </c>
      <c r="I60" s="175">
        <f>I57+I58*0.7</f>
        <v>61.46764520000001</v>
      </c>
      <c r="J60" s="175">
        <f>J57+J58*0.7</f>
        <v>149.84095468799998</v>
      </c>
      <c r="K60" s="106"/>
      <c r="L60" s="104"/>
      <c r="M60" s="58"/>
      <c r="N60" s="3"/>
      <c r="O60" s="4"/>
      <c r="P60" s="112"/>
    </row>
    <row r="61" spans="2:15" s="86" customFormat="1" ht="13.5" customHeight="1">
      <c r="B61" s="68"/>
      <c r="C61" s="108"/>
      <c r="D61" s="58"/>
      <c r="E61" s="232"/>
      <c r="F61" s="232"/>
      <c r="G61" s="18"/>
      <c r="H61" s="18"/>
      <c r="I61" s="18"/>
      <c r="J61" s="18"/>
      <c r="K61" s="18"/>
      <c r="L61" s="104"/>
      <c r="M61" s="58"/>
      <c r="N61" s="3"/>
      <c r="O61" s="3"/>
    </row>
    <row r="62" spans="2:15" s="86" customFormat="1" ht="13.5" customHeight="1">
      <c r="B62" s="72" t="s">
        <v>197</v>
      </c>
      <c r="C62" s="78" t="s">
        <v>196</v>
      </c>
      <c r="D62" s="115">
        <v>0.15</v>
      </c>
      <c r="F62" s="232" t="s">
        <v>103</v>
      </c>
      <c r="G62" s="234">
        <f>NPV(D62,F59:J59)</f>
        <v>226.2788365331059</v>
      </c>
      <c r="H62" s="81" t="s">
        <v>66</v>
      </c>
      <c r="I62" s="233">
        <f>IRR(E59:J59)</f>
        <v>0.19007753961316182</v>
      </c>
      <c r="J62" s="81" t="s">
        <v>67</v>
      </c>
      <c r="K62" s="118">
        <f>G62+E59</f>
        <v>26.278836533105903</v>
      </c>
      <c r="L62" s="104"/>
      <c r="M62" s="119"/>
      <c r="N62" s="3"/>
      <c r="O62" s="3"/>
    </row>
    <row r="63" spans="2:15" s="86" customFormat="1" ht="13.5" customHeight="1">
      <c r="B63" s="72" t="s">
        <v>93</v>
      </c>
      <c r="C63" s="78" t="s">
        <v>196</v>
      </c>
      <c r="D63" s="115">
        <f>D62*(1-C13)</f>
        <v>0.105</v>
      </c>
      <c r="E63" s="232"/>
      <c r="F63" s="232" t="s">
        <v>103</v>
      </c>
      <c r="G63" s="234">
        <f>NPV(D63,F60:J60)</f>
        <v>220.75275581505934</v>
      </c>
      <c r="H63" s="81" t="s">
        <v>66</v>
      </c>
      <c r="I63" s="280">
        <f>IRR(E60:J60)</f>
        <v>0.13365720085884822</v>
      </c>
      <c r="J63" s="81" t="s">
        <v>67</v>
      </c>
      <c r="K63" s="118">
        <f>G63+E60</f>
        <v>20.752755815059345</v>
      </c>
      <c r="L63" s="104"/>
      <c r="M63" s="58"/>
      <c r="N63" s="3"/>
      <c r="O63" s="3"/>
    </row>
    <row r="64" spans="11:15" s="86" customFormat="1" ht="13.5" customHeight="1">
      <c r="K64" s="18"/>
      <c r="L64" s="104"/>
      <c r="M64" s="58"/>
      <c r="N64" s="3"/>
      <c r="O64" s="3"/>
    </row>
    <row r="65" spans="2:15" s="86" customFormat="1" ht="13.5" customHeight="1">
      <c r="B65" s="120"/>
      <c r="C65" s="17"/>
      <c r="D65" s="3"/>
      <c r="E65" s="121"/>
      <c r="F65" s="121"/>
      <c r="G65" s="122"/>
      <c r="H65" s="68"/>
      <c r="I65" s="106"/>
      <c r="J65" s="122"/>
      <c r="K65" s="18"/>
      <c r="L65" s="104"/>
      <c r="M65" s="58"/>
      <c r="N65" s="3"/>
      <c r="O65" s="3"/>
    </row>
    <row r="66" spans="2:14" ht="13.5" customHeight="1" thickBot="1">
      <c r="B66" s="89" t="s">
        <v>94</v>
      </c>
      <c r="C66" s="184"/>
      <c r="D66" s="68"/>
      <c r="E66" s="171">
        <f aca="true" t="shared" si="5" ref="E66:J67">E56</f>
        <v>0</v>
      </c>
      <c r="F66" s="171">
        <f t="shared" si="5"/>
        <v>1</v>
      </c>
      <c r="G66" s="171">
        <f t="shared" si="5"/>
        <v>2</v>
      </c>
      <c r="H66" s="171">
        <f t="shared" si="5"/>
        <v>3</v>
      </c>
      <c r="I66" s="171">
        <f t="shared" si="5"/>
        <v>4</v>
      </c>
      <c r="J66" s="171">
        <f t="shared" si="5"/>
        <v>5</v>
      </c>
      <c r="K66" s="72"/>
      <c r="L66" s="72"/>
      <c r="M66" s="107" t="s">
        <v>60</v>
      </c>
      <c r="N66" s="31"/>
    </row>
    <row r="67" spans="2:14" ht="13.5" customHeight="1">
      <c r="B67" s="23" t="s">
        <v>61</v>
      </c>
      <c r="C67" s="108"/>
      <c r="D67" s="17" t="s">
        <v>29</v>
      </c>
      <c r="E67" s="19">
        <f t="shared" si="5"/>
        <v>-200</v>
      </c>
      <c r="F67" s="19">
        <f t="shared" si="5"/>
        <v>-40</v>
      </c>
      <c r="G67" s="19">
        <f t="shared" si="5"/>
        <v>37.599999999999994</v>
      </c>
      <c r="H67" s="19">
        <f t="shared" si="5"/>
        <v>37.52799999999999</v>
      </c>
      <c r="I67" s="19">
        <f t="shared" si="5"/>
        <v>37.453840000000014</v>
      </c>
      <c r="J67" s="19">
        <f t="shared" si="5"/>
        <v>127.41816</v>
      </c>
      <c r="L67" s="109"/>
      <c r="M67" s="6" t="s">
        <v>22</v>
      </c>
      <c r="N67" s="6" t="s">
        <v>62</v>
      </c>
    </row>
    <row r="68" spans="2:16" ht="13.5" customHeight="1">
      <c r="B68" s="23" t="s">
        <v>63</v>
      </c>
      <c r="C68" s="108"/>
      <c r="D68" s="17" t="s">
        <v>31</v>
      </c>
      <c r="E68" s="19">
        <f>E31</f>
        <v>150</v>
      </c>
      <c r="F68" s="38">
        <f>F31-E31</f>
        <v>0</v>
      </c>
      <c r="G68" s="38">
        <f>G31-F31</f>
        <v>0</v>
      </c>
      <c r="H68" s="38">
        <f>H31-G31</f>
        <v>0</v>
      </c>
      <c r="I68" s="38">
        <f>I31-H31</f>
        <v>0</v>
      </c>
      <c r="J68" s="38">
        <f>J31-I31</f>
        <v>-150</v>
      </c>
      <c r="L68" s="109"/>
      <c r="M68" s="110">
        <v>0.2</v>
      </c>
      <c r="N68" s="110">
        <v>0</v>
      </c>
      <c r="P68" s="111"/>
    </row>
    <row r="69" spans="2:14" ht="13.5" customHeight="1">
      <c r="B69" s="170" t="s">
        <v>95</v>
      </c>
      <c r="C69" s="108"/>
      <c r="D69" s="17"/>
      <c r="E69" s="49">
        <f aca="true" t="shared" si="6" ref="E69:J69">E14</f>
        <v>0</v>
      </c>
      <c r="F69" s="49">
        <f t="shared" si="6"/>
        <v>21.700000000000003</v>
      </c>
      <c r="G69" s="49">
        <f t="shared" si="6"/>
        <v>20.496000000000002</v>
      </c>
      <c r="H69" s="49">
        <f t="shared" si="6"/>
        <v>19.169359999999998</v>
      </c>
      <c r="I69" s="49">
        <f t="shared" si="6"/>
        <v>17.71380519999999</v>
      </c>
      <c r="J69" s="49">
        <f t="shared" si="6"/>
        <v>16.122794687999985</v>
      </c>
      <c r="L69" s="109"/>
      <c r="M69" s="95" t="s">
        <v>64</v>
      </c>
      <c r="N69" s="111">
        <f>J14</f>
        <v>16.122794687999985</v>
      </c>
    </row>
    <row r="70" spans="2:14" ht="13.5" customHeight="1">
      <c r="B70" s="113" t="s">
        <v>65</v>
      </c>
      <c r="C70" s="108"/>
      <c r="D70" s="17" t="s">
        <v>33</v>
      </c>
      <c r="E70" s="81">
        <f aca="true" t="shared" si="7" ref="E70:J70">SUM(E67:E69)</f>
        <v>-50</v>
      </c>
      <c r="F70" s="81">
        <f t="shared" si="7"/>
        <v>-18.299999999999997</v>
      </c>
      <c r="G70" s="81">
        <f t="shared" si="7"/>
        <v>58.096</v>
      </c>
      <c r="H70" s="81">
        <f t="shared" si="7"/>
        <v>56.69735999999999</v>
      </c>
      <c r="I70" s="81">
        <f t="shared" si="7"/>
        <v>55.1676452</v>
      </c>
      <c r="J70" s="81">
        <f t="shared" si="7"/>
        <v>-6.459045312000015</v>
      </c>
      <c r="L70" s="104"/>
      <c r="M70" s="4" t="s">
        <v>114</v>
      </c>
      <c r="N70" s="112">
        <f>N69/(M68-N68)</f>
        <v>80.61397343999992</v>
      </c>
    </row>
    <row r="71" spans="2:13" ht="13.5" customHeight="1">
      <c r="B71" s="68"/>
      <c r="C71" s="108"/>
      <c r="D71" s="58"/>
      <c r="E71" s="232"/>
      <c r="F71" s="232"/>
      <c r="G71" s="18"/>
      <c r="H71" s="18"/>
      <c r="I71" s="18"/>
      <c r="J71" s="18"/>
      <c r="K71" s="18"/>
      <c r="L71" s="104"/>
      <c r="M71" s="58"/>
    </row>
    <row r="72" spans="2:13" ht="13.5" customHeight="1">
      <c r="B72" s="72" t="s">
        <v>212</v>
      </c>
      <c r="C72" s="78" t="s">
        <v>198</v>
      </c>
      <c r="D72" s="115">
        <v>0.15</v>
      </c>
      <c r="F72" s="232" t="s">
        <v>103</v>
      </c>
      <c r="G72" s="234">
        <f>NPV(D72,F70:J70)</f>
        <v>93.6263066865144</v>
      </c>
      <c r="H72" s="81" t="s">
        <v>66</v>
      </c>
      <c r="I72" s="233">
        <f>IRR(E70:J70)</f>
        <v>0.4034491594636785</v>
      </c>
      <c r="J72" s="81" t="s">
        <v>67</v>
      </c>
      <c r="K72" s="118">
        <f>G72+E70</f>
        <v>43.6263066865144</v>
      </c>
      <c r="L72" s="104"/>
      <c r="M72" s="119"/>
    </row>
    <row r="73" spans="2:13" ht="13.5" customHeight="1">
      <c r="B73" s="68"/>
      <c r="C73" s="108"/>
      <c r="D73" s="58"/>
      <c r="E73" s="232"/>
      <c r="F73" s="232"/>
      <c r="G73" s="18"/>
      <c r="H73" s="18"/>
      <c r="I73" s="18"/>
      <c r="J73" s="18"/>
      <c r="K73" s="18"/>
      <c r="L73" s="104"/>
      <c r="M73" s="58"/>
    </row>
    <row r="75" spans="2:12" ht="13.5" customHeight="1" thickBot="1">
      <c r="B75" s="89" t="s">
        <v>112</v>
      </c>
      <c r="C75" s="184"/>
      <c r="D75" s="185"/>
      <c r="E75" s="231"/>
      <c r="F75" s="230"/>
      <c r="G75" s="58"/>
      <c r="L75" s="68"/>
    </row>
    <row r="76" spans="3:12" ht="13.5" customHeight="1">
      <c r="C76" s="3"/>
      <c r="F76" s="230"/>
      <c r="G76" s="58"/>
      <c r="L76" s="68"/>
    </row>
    <row r="77" spans="2:12" ht="13.5" customHeight="1">
      <c r="B77" s="204"/>
      <c r="C77" s="205" t="s">
        <v>161</v>
      </c>
      <c r="D77" s="206"/>
      <c r="E77" s="229"/>
      <c r="F77" s="122"/>
      <c r="L77" s="68"/>
    </row>
    <row r="78" spans="2:12" ht="13.5" customHeight="1">
      <c r="B78" s="272" t="s">
        <v>235</v>
      </c>
      <c r="C78" s="187">
        <v>300</v>
      </c>
      <c r="D78" s="187">
        <v>400</v>
      </c>
      <c r="E78" s="188">
        <v>500</v>
      </c>
      <c r="F78" s="42"/>
      <c r="G78" s="204"/>
      <c r="H78" s="208"/>
      <c r="I78" s="209" t="s">
        <v>234</v>
      </c>
      <c r="J78" s="210"/>
      <c r="L78" s="68"/>
    </row>
    <row r="79" spans="2:12" ht="13.5" customHeight="1">
      <c r="B79" s="277" t="s">
        <v>202</v>
      </c>
      <c r="C79" s="128">
        <v>0.07</v>
      </c>
      <c r="D79" s="128">
        <v>0.19</v>
      </c>
      <c r="E79" s="129">
        <v>0.29</v>
      </c>
      <c r="F79" s="128"/>
      <c r="G79" s="197" t="s">
        <v>106</v>
      </c>
      <c r="H79" s="50"/>
      <c r="I79" s="124" t="s">
        <v>6</v>
      </c>
      <c r="J79" s="195" t="s">
        <v>107</v>
      </c>
      <c r="L79" s="68"/>
    </row>
    <row r="80" spans="2:12" ht="13.5" customHeight="1">
      <c r="B80" s="189" t="s">
        <v>203</v>
      </c>
      <c r="C80" s="181">
        <v>152</v>
      </c>
      <c r="D80" s="181">
        <v>226</v>
      </c>
      <c r="E80" s="190">
        <v>301</v>
      </c>
      <c r="F80" s="128"/>
      <c r="G80" s="131" t="s">
        <v>69</v>
      </c>
      <c r="H80" s="42"/>
      <c r="I80" s="125" t="s">
        <v>10</v>
      </c>
      <c r="J80" s="196">
        <v>22</v>
      </c>
      <c r="L80" s="68"/>
    </row>
    <row r="81" spans="2:10" ht="13.5" customHeight="1">
      <c r="B81" s="189" t="s">
        <v>204</v>
      </c>
      <c r="C81" s="128">
        <v>0.09</v>
      </c>
      <c r="D81" s="128">
        <v>0.4</v>
      </c>
      <c r="E81" s="129">
        <v>0.58</v>
      </c>
      <c r="F81" s="128"/>
      <c r="G81" s="131" t="s">
        <v>70</v>
      </c>
      <c r="H81" s="42"/>
      <c r="I81" s="125">
        <v>0.4</v>
      </c>
      <c r="J81" s="196">
        <v>94</v>
      </c>
    </row>
    <row r="82" spans="2:16" ht="13.5" customHeight="1">
      <c r="B82" s="189" t="s">
        <v>104</v>
      </c>
      <c r="C82" s="42">
        <v>44</v>
      </c>
      <c r="D82" s="42">
        <v>94</v>
      </c>
      <c r="E82" s="221">
        <v>143</v>
      </c>
      <c r="F82" s="128"/>
      <c r="G82" s="197" t="s">
        <v>71</v>
      </c>
      <c r="H82" s="133"/>
      <c r="I82" s="198">
        <v>0.68</v>
      </c>
      <c r="J82" s="199">
        <v>183</v>
      </c>
      <c r="O82" s="130"/>
      <c r="P82" s="130"/>
    </row>
    <row r="83" spans="2:16" ht="13.5" customHeight="1">
      <c r="B83" s="272" t="s">
        <v>233</v>
      </c>
      <c r="C83" s="273">
        <v>0</v>
      </c>
      <c r="D83" s="273">
        <v>0.03</v>
      </c>
      <c r="E83" s="274">
        <v>0.06</v>
      </c>
      <c r="O83" s="130"/>
      <c r="P83" s="130"/>
    </row>
    <row r="84" spans="2:16" ht="13.5" customHeight="1">
      <c r="B84" s="277" t="s">
        <v>202</v>
      </c>
      <c r="C84" s="128">
        <v>0.17</v>
      </c>
      <c r="D84" s="128">
        <v>0.19</v>
      </c>
      <c r="E84" s="129">
        <v>0.21</v>
      </c>
      <c r="O84" s="130"/>
      <c r="P84" s="130"/>
    </row>
    <row r="85" spans="2:11" ht="13.5" customHeight="1">
      <c r="B85" s="189" t="s">
        <v>203</v>
      </c>
      <c r="C85" s="181">
        <v>212</v>
      </c>
      <c r="D85" s="181">
        <v>226</v>
      </c>
      <c r="E85" s="190">
        <v>242</v>
      </c>
      <c r="G85" s="200"/>
      <c r="H85" s="201"/>
      <c r="I85" s="202" t="s">
        <v>113</v>
      </c>
      <c r="J85" s="203"/>
      <c r="K85" s="14"/>
    </row>
    <row r="86" spans="2:11" ht="13.5" customHeight="1">
      <c r="B86" s="189" t="s">
        <v>204</v>
      </c>
      <c r="C86" s="128">
        <v>0.37</v>
      </c>
      <c r="D86" s="128">
        <v>0.4</v>
      </c>
      <c r="E86" s="129">
        <v>0.44</v>
      </c>
      <c r="G86" s="212"/>
      <c r="H86" s="213"/>
      <c r="I86" s="214" t="s">
        <v>111</v>
      </c>
      <c r="J86" s="215"/>
      <c r="K86" s="14"/>
    </row>
    <row r="87" spans="2:10" ht="13.5" customHeight="1">
      <c r="B87" s="189" t="s">
        <v>104</v>
      </c>
      <c r="C87" s="42">
        <v>84</v>
      </c>
      <c r="D87" s="42">
        <v>94</v>
      </c>
      <c r="E87" s="221">
        <v>104</v>
      </c>
      <c r="F87" s="58"/>
      <c r="G87" s="216" t="s">
        <v>19</v>
      </c>
      <c r="H87" s="127"/>
      <c r="I87" s="132" t="s">
        <v>6</v>
      </c>
      <c r="J87" s="217" t="s">
        <v>9</v>
      </c>
    </row>
    <row r="88" spans="2:13" ht="13.5" customHeight="1">
      <c r="B88" s="272" t="s">
        <v>232</v>
      </c>
      <c r="C88" s="275">
        <v>-0.02</v>
      </c>
      <c r="D88" s="275">
        <v>-0.01</v>
      </c>
      <c r="E88" s="276">
        <v>0</v>
      </c>
      <c r="F88" s="58"/>
      <c r="G88" s="218" t="s">
        <v>231</v>
      </c>
      <c r="H88" s="126"/>
      <c r="I88" s="125">
        <v>0.17</v>
      </c>
      <c r="J88" s="219">
        <v>7</v>
      </c>
      <c r="M88" s="85"/>
    </row>
    <row r="89" spans="2:13" ht="13.5" customHeight="1">
      <c r="B89" s="277" t="s">
        <v>202</v>
      </c>
      <c r="C89" s="128">
        <v>0.15</v>
      </c>
      <c r="D89" s="128">
        <v>0.19</v>
      </c>
      <c r="E89" s="129">
        <v>0.23</v>
      </c>
      <c r="F89" s="58"/>
      <c r="G89" s="218" t="s">
        <v>230</v>
      </c>
      <c r="H89" s="135"/>
      <c r="I89" s="125">
        <v>0.23</v>
      </c>
      <c r="J89" s="219">
        <v>26</v>
      </c>
      <c r="M89" s="85"/>
    </row>
    <row r="90" spans="2:13" ht="13.5" customHeight="1">
      <c r="B90" s="189" t="s">
        <v>203</v>
      </c>
      <c r="C90" s="181">
        <v>201</v>
      </c>
      <c r="D90" s="181">
        <v>226</v>
      </c>
      <c r="E90" s="190">
        <v>251</v>
      </c>
      <c r="F90" s="58"/>
      <c r="G90" s="218" t="s">
        <v>229</v>
      </c>
      <c r="H90" s="126"/>
      <c r="I90" s="125">
        <v>0.4</v>
      </c>
      <c r="J90" s="219">
        <v>44</v>
      </c>
      <c r="M90" s="85"/>
    </row>
    <row r="91" spans="2:13" ht="13.5" customHeight="1">
      <c r="B91" s="189" t="s">
        <v>204</v>
      </c>
      <c r="C91" s="128">
        <v>0.32</v>
      </c>
      <c r="D91" s="128">
        <v>0.4</v>
      </c>
      <c r="E91" s="129">
        <v>0.47</v>
      </c>
      <c r="F91" s="42"/>
      <c r="G91" s="211"/>
      <c r="H91" s="193"/>
      <c r="I91" s="193"/>
      <c r="J91" s="194"/>
      <c r="M91" s="85"/>
    </row>
    <row r="92" spans="2:13" ht="13.5" customHeight="1">
      <c r="B92" s="189" t="s">
        <v>104</v>
      </c>
      <c r="C92" s="50">
        <v>76</v>
      </c>
      <c r="D92" s="42">
        <v>94</v>
      </c>
      <c r="E92" s="223">
        <v>111</v>
      </c>
      <c r="F92" s="42"/>
      <c r="M92" s="85"/>
    </row>
    <row r="93" spans="2:13" ht="13.5" customHeight="1">
      <c r="B93" s="272" t="s">
        <v>228</v>
      </c>
      <c r="C93" s="275">
        <v>0.06</v>
      </c>
      <c r="D93" s="275">
        <v>0.03</v>
      </c>
      <c r="E93" s="276">
        <v>0</v>
      </c>
      <c r="F93" s="42"/>
      <c r="M93" s="85"/>
    </row>
    <row r="94" spans="2:13" ht="13.5" customHeight="1">
      <c r="B94" s="277" t="s">
        <v>202</v>
      </c>
      <c r="C94" s="128">
        <v>0.18</v>
      </c>
      <c r="D94" s="128">
        <v>0.19</v>
      </c>
      <c r="E94" s="129">
        <v>0.2</v>
      </c>
      <c r="F94" s="42"/>
      <c r="M94" s="85"/>
    </row>
    <row r="95" spans="2:13" ht="13.5" customHeight="1">
      <c r="B95" s="189" t="s">
        <v>203</v>
      </c>
      <c r="C95" s="181">
        <v>223</v>
      </c>
      <c r="D95" s="181">
        <v>226</v>
      </c>
      <c r="E95" s="190">
        <v>230</v>
      </c>
      <c r="F95" s="42"/>
      <c r="M95" s="85"/>
    </row>
    <row r="96" spans="2:13" ht="13.5" customHeight="1">
      <c r="B96" s="189" t="s">
        <v>204</v>
      </c>
      <c r="C96" s="128">
        <v>0.39</v>
      </c>
      <c r="D96" s="128">
        <v>0.4</v>
      </c>
      <c r="E96" s="129">
        <v>0.41</v>
      </c>
      <c r="F96" s="42"/>
      <c r="M96" s="85"/>
    </row>
    <row r="97" spans="2:13" ht="13.5" customHeight="1">
      <c r="B97" s="222" t="s">
        <v>104</v>
      </c>
      <c r="C97" s="50">
        <v>91</v>
      </c>
      <c r="D97" s="50">
        <v>94</v>
      </c>
      <c r="E97" s="223">
        <v>96</v>
      </c>
      <c r="F97" s="42"/>
      <c r="M97" s="85"/>
    </row>
    <row r="98" spans="2:13" ht="13.5" customHeight="1">
      <c r="B98" s="42"/>
      <c r="C98" s="42"/>
      <c r="D98" s="42"/>
      <c r="E98" s="42"/>
      <c r="F98" s="42"/>
      <c r="G98" s="58"/>
      <c r="H98" s="128"/>
      <c r="I98" s="126"/>
      <c r="J98" s="125"/>
      <c r="K98" s="134"/>
      <c r="M98" s="85"/>
    </row>
    <row r="99" spans="2:8" ht="13.5" customHeight="1" thickBot="1">
      <c r="B99" s="87" t="s">
        <v>105</v>
      </c>
      <c r="C99" s="88"/>
      <c r="D99" s="89"/>
      <c r="E99" s="226"/>
      <c r="F99" s="226"/>
      <c r="G99" s="226"/>
      <c r="H99" s="77"/>
    </row>
    <row r="100" spans="1:3" ht="13.5" customHeight="1">
      <c r="A100" s="84" t="s">
        <v>29</v>
      </c>
      <c r="B100" s="3" t="s">
        <v>227</v>
      </c>
      <c r="C100" s="3"/>
    </row>
    <row r="101" spans="1:3" ht="13.5" customHeight="1">
      <c r="A101" s="84" t="s">
        <v>31</v>
      </c>
      <c r="B101" s="3" t="s">
        <v>226</v>
      </c>
      <c r="C101" s="3"/>
    </row>
    <row r="102" spans="1:3" ht="13.5" customHeight="1">
      <c r="A102" s="84" t="s">
        <v>33</v>
      </c>
      <c r="B102" s="14" t="s">
        <v>225</v>
      </c>
      <c r="C102" s="3"/>
    </row>
    <row r="103" spans="1:13" ht="13.5" customHeight="1">
      <c r="A103" s="84" t="s">
        <v>34</v>
      </c>
      <c r="B103" s="220" t="s">
        <v>224</v>
      </c>
      <c r="M103" s="14"/>
    </row>
    <row r="104" spans="1:13" ht="13.5" customHeight="1">
      <c r="A104" s="14"/>
      <c r="B104" s="3" t="s">
        <v>223</v>
      </c>
      <c r="C104" s="41"/>
      <c r="D104" s="14"/>
      <c r="E104" s="14"/>
      <c r="F104" s="14"/>
      <c r="G104" s="14"/>
      <c r="H104" s="14"/>
      <c r="I104" s="14"/>
      <c r="J104" s="136"/>
      <c r="K104" s="136"/>
      <c r="L104" s="14"/>
      <c r="M104" s="14"/>
    </row>
    <row r="105" spans="1:13" ht="13.5" customHeight="1">
      <c r="A105" s="84" t="s">
        <v>35</v>
      </c>
      <c r="B105" s="14" t="s">
        <v>222</v>
      </c>
      <c r="C105" s="41"/>
      <c r="D105" s="14"/>
      <c r="E105" s="14"/>
      <c r="F105" s="14"/>
      <c r="G105" s="14"/>
      <c r="H105" s="14"/>
      <c r="I105" s="14"/>
      <c r="J105" s="136"/>
      <c r="K105" s="136"/>
      <c r="L105" s="14"/>
      <c r="M105" s="14"/>
    </row>
    <row r="106" spans="1:13" ht="13.5" customHeight="1">
      <c r="A106" s="84" t="s">
        <v>38</v>
      </c>
      <c r="B106" s="14" t="s">
        <v>221</v>
      </c>
      <c r="C106" s="41"/>
      <c r="D106" s="14"/>
      <c r="E106" s="14"/>
      <c r="F106" s="14"/>
      <c r="G106" s="14"/>
      <c r="H106" s="14"/>
      <c r="I106" s="14"/>
      <c r="J106" s="136"/>
      <c r="K106" s="136"/>
      <c r="L106" s="14"/>
      <c r="M106" s="14"/>
    </row>
    <row r="107" spans="3:11" s="14" customFormat="1" ht="13.5" customHeight="1">
      <c r="C107" s="41"/>
      <c r="J107" s="136"/>
      <c r="K107" s="41" t="str">
        <f>K52</f>
        <v>© E.M. Abascal. Sept. 2011</v>
      </c>
    </row>
    <row r="108" s="14" customFormat="1" ht="13.5" customHeight="1">
      <c r="J108" s="136"/>
    </row>
    <row r="109" spans="1:15" s="14" customFormat="1" ht="13.5" customHeight="1">
      <c r="A109" s="84"/>
      <c r="C109" s="41"/>
      <c r="J109" s="136"/>
      <c r="K109" s="136"/>
      <c r="O109" s="137"/>
    </row>
    <row r="110" spans="1:11" s="14" customFormat="1" ht="13.5" customHeight="1">
      <c r="A110" s="84"/>
      <c r="C110" s="41"/>
      <c r="J110" s="136"/>
      <c r="K110" s="136"/>
    </row>
    <row r="111" s="14" customFormat="1" ht="13.5" customHeight="1">
      <c r="A111" s="138"/>
    </row>
    <row r="112" s="14" customFormat="1" ht="13.5" customHeight="1"/>
    <row r="113" s="14" customFormat="1" ht="13.5" customHeight="1"/>
    <row r="114" spans="3:11" s="14" customFormat="1" ht="13.5" customHeight="1">
      <c r="C114" s="41"/>
      <c r="J114" s="136"/>
      <c r="K114" s="136"/>
    </row>
    <row r="115" spans="1:7" s="14" customFormat="1" ht="13.5" customHeight="1">
      <c r="A115" s="136"/>
      <c r="B115" s="136"/>
      <c r="C115" s="228"/>
      <c r="D115" s="136"/>
      <c r="E115" s="136"/>
      <c r="F115" s="136"/>
      <c r="G115" s="3"/>
    </row>
    <row r="116" spans="2:7" s="14" customFormat="1" ht="13.5" customHeight="1">
      <c r="B116" s="3"/>
      <c r="C116" s="4"/>
      <c r="D116" s="3"/>
      <c r="E116" s="3"/>
      <c r="F116" s="3"/>
      <c r="G116" s="3"/>
    </row>
    <row r="117" spans="2:7" s="14" customFormat="1" ht="13.5" customHeight="1">
      <c r="B117" s="3"/>
      <c r="C117" s="4"/>
      <c r="D117" s="3"/>
      <c r="E117" s="3"/>
      <c r="F117" s="3"/>
      <c r="G117" s="3"/>
    </row>
    <row r="118" s="14" customFormat="1" ht="13.5" customHeight="1">
      <c r="G118" s="3"/>
    </row>
    <row r="119" s="140" customFormat="1" ht="13.5" customHeight="1">
      <c r="G119" s="139"/>
    </row>
    <row r="120" s="14" customFormat="1" ht="13.5" customHeight="1"/>
    <row r="121" s="14" customFormat="1" ht="13.5" customHeight="1"/>
    <row r="122" s="14" customFormat="1" ht="13.5" customHeight="1"/>
    <row r="123" s="14" customFormat="1" ht="13.5" customHeight="1">
      <c r="G123" s="3"/>
    </row>
    <row r="124" s="14" customFormat="1" ht="13.5" customHeight="1">
      <c r="C124" s="41"/>
    </row>
    <row r="125" s="14" customFormat="1" ht="13.5" customHeight="1">
      <c r="C125" s="41"/>
    </row>
    <row r="127" spans="12:14" ht="13.5" customHeight="1">
      <c r="L127" s="136"/>
      <c r="M127" s="136"/>
      <c r="N127" s="136"/>
    </row>
  </sheetData>
  <sheetProtection/>
  <printOptions headings="1"/>
  <pageMargins left="0.7480314960629921" right="0.2362204724409449" top="0.6299212598425197" bottom="0.6299212598425197" header="0.5118110236220472" footer="0.5118110236220472"/>
  <pageSetup horizontalDpi="1200" verticalDpi="1200" orientation="portrait" paperSize="9" scale="84" r:id="rId3"/>
  <rowBreaks count="1" manualBreakCount="1">
    <brk id="52" max="10" man="1"/>
  </rowBreaks>
  <legacyDrawing r:id="rId2"/>
</worksheet>
</file>

<file path=xl/worksheets/sheet3.xml><?xml version="1.0" encoding="utf-8"?>
<worksheet xmlns="http://schemas.openxmlformats.org/spreadsheetml/2006/main" xmlns:r="http://schemas.openxmlformats.org/officeDocument/2006/relationships">
  <dimension ref="A1:T127"/>
  <sheetViews>
    <sheetView showGridLines="0" view="pageBreakPreview" zoomScale="120" zoomScaleSheetLayoutView="120" zoomScalePageLayoutView="0" workbookViewId="0" topLeftCell="A1">
      <selection activeCell="L100" sqref="L100"/>
    </sheetView>
  </sheetViews>
  <sheetFormatPr defaultColWidth="9.125" defaultRowHeight="13.5" customHeight="1"/>
  <cols>
    <col min="1" max="1" width="4.00390625" style="3" customWidth="1"/>
    <col min="2" max="2" width="21.25390625" style="3" customWidth="1"/>
    <col min="3" max="3" width="8.00390625" style="4" customWidth="1"/>
    <col min="4" max="4" width="7.75390625" style="3" customWidth="1"/>
    <col min="5" max="5" width="5.875" style="3" customWidth="1"/>
    <col min="6" max="9" width="7.875" style="3" customWidth="1"/>
    <col min="10" max="10" width="8.875" style="3" customWidth="1"/>
    <col min="11" max="11" width="7.875" style="3" customWidth="1"/>
    <col min="12" max="12" width="5.375" style="3" customWidth="1"/>
    <col min="13" max="13" width="4.75390625" style="3" customWidth="1"/>
    <col min="14" max="14" width="6.75390625" style="3" customWidth="1"/>
    <col min="15" max="15" width="6.875" style="3" customWidth="1"/>
    <col min="16" max="16" width="9.125" style="3" customWidth="1"/>
    <col min="17" max="18" width="5.25390625" style="3" customWidth="1"/>
    <col min="19" max="16384" width="9.125" style="3" customWidth="1"/>
  </cols>
  <sheetData>
    <row r="1" spans="6:11" ht="24" customHeight="1">
      <c r="F1" s="5" t="s">
        <v>248</v>
      </c>
      <c r="I1" s="6"/>
      <c r="K1" s="340" t="s">
        <v>340</v>
      </c>
    </row>
    <row r="2" spans="2:11" ht="13.5" customHeight="1">
      <c r="B2" s="8"/>
      <c r="C2" s="9"/>
      <c r="D2" s="10"/>
      <c r="E2" s="143"/>
      <c r="F2" s="143"/>
      <c r="G2" s="10"/>
      <c r="H2" s="10"/>
      <c r="I2" s="11"/>
      <c r="J2" s="10"/>
      <c r="K2" s="10"/>
    </row>
    <row r="3" spans="2:20" ht="13.5" customHeight="1" thickBot="1">
      <c r="B3" s="89" t="s">
        <v>96</v>
      </c>
      <c r="C3" s="292" t="s">
        <v>28</v>
      </c>
      <c r="E3" s="14"/>
      <c r="F3" s="291">
        <v>2013</v>
      </c>
      <c r="G3" s="291">
        <f>F3+1</f>
        <v>2014</v>
      </c>
      <c r="H3" s="291">
        <f>G3+1</f>
        <v>2015</v>
      </c>
      <c r="I3" s="291">
        <f>H3+1</f>
        <v>2016</v>
      </c>
      <c r="J3" s="291">
        <f>I3+1</f>
        <v>2017</v>
      </c>
      <c r="K3" s="13"/>
      <c r="L3" s="13"/>
      <c r="M3" s="288"/>
      <c r="N3" s="14"/>
      <c r="P3" s="288"/>
      <c r="Q3" s="288"/>
      <c r="R3" s="288"/>
      <c r="S3" s="288"/>
      <c r="T3" s="288"/>
    </row>
    <row r="4" spans="2:20" ht="13.5" customHeight="1">
      <c r="B4" s="15" t="s">
        <v>0</v>
      </c>
      <c r="C4" s="269">
        <v>400</v>
      </c>
      <c r="D4" s="17" t="s">
        <v>29</v>
      </c>
      <c r="E4" s="14"/>
      <c r="F4" s="148"/>
      <c r="G4" s="18"/>
      <c r="H4" s="18"/>
      <c r="I4" s="18"/>
      <c r="J4" s="18"/>
      <c r="K4" s="38"/>
      <c r="L4" s="19"/>
      <c r="M4" s="290"/>
      <c r="N4" s="14"/>
      <c r="P4" s="289"/>
      <c r="Q4" s="288"/>
      <c r="R4" s="288"/>
      <c r="S4" s="288"/>
      <c r="T4" s="288"/>
    </row>
    <row r="5" spans="2:20" ht="13.5" customHeight="1">
      <c r="B5" s="23" t="s">
        <v>11</v>
      </c>
      <c r="C5" s="271"/>
      <c r="D5" s="17"/>
      <c r="E5" s="14"/>
      <c r="F5" s="49"/>
      <c r="G5" s="265"/>
      <c r="H5" s="265"/>
      <c r="I5" s="265"/>
      <c r="J5" s="265"/>
      <c r="K5" s="260"/>
      <c r="L5" s="263"/>
      <c r="M5" s="14"/>
      <c r="N5" s="14"/>
      <c r="O5" s="290"/>
      <c r="P5" s="289"/>
      <c r="Q5" s="288"/>
      <c r="R5" s="288"/>
      <c r="S5" s="288"/>
      <c r="T5" s="288"/>
    </row>
    <row r="6" spans="2:16" ht="13.5" customHeight="1">
      <c r="B6" s="15" t="s">
        <v>30</v>
      </c>
      <c r="C6" s="16"/>
      <c r="D6" s="17" t="s">
        <v>31</v>
      </c>
      <c r="E6" s="14"/>
      <c r="F6" s="38"/>
      <c r="G6" s="38"/>
      <c r="H6" s="38"/>
      <c r="I6" s="38"/>
      <c r="J6" s="38"/>
      <c r="K6" s="38"/>
      <c r="L6" s="19"/>
      <c r="M6" s="28"/>
      <c r="N6" s="29"/>
      <c r="O6" s="21"/>
      <c r="P6" s="22"/>
    </row>
    <row r="7" spans="2:16" ht="13.5" customHeight="1">
      <c r="B7" s="15" t="s">
        <v>273</v>
      </c>
      <c r="C7" s="269">
        <v>20</v>
      </c>
      <c r="D7" s="17" t="s">
        <v>33</v>
      </c>
      <c r="E7" s="14"/>
      <c r="F7" s="266"/>
      <c r="G7" s="287"/>
      <c r="H7" s="287"/>
      <c r="I7" s="287"/>
      <c r="J7" s="287"/>
      <c r="K7" s="263"/>
      <c r="L7" s="263"/>
      <c r="M7" s="28"/>
      <c r="N7" s="14"/>
      <c r="O7" s="14"/>
      <c r="P7" s="32"/>
    </row>
    <row r="8" spans="2:16" ht="13.5" customHeight="1">
      <c r="B8" s="15" t="s">
        <v>7</v>
      </c>
      <c r="C8" s="33"/>
      <c r="D8" s="17"/>
      <c r="E8" s="14"/>
      <c r="F8" s="38"/>
      <c r="G8" s="38"/>
      <c r="H8" s="38"/>
      <c r="I8" s="38"/>
      <c r="J8" s="38"/>
      <c r="K8" s="260"/>
      <c r="L8" s="263"/>
      <c r="M8" s="32"/>
      <c r="N8" s="14"/>
      <c r="O8" s="27"/>
      <c r="P8" s="22"/>
    </row>
    <row r="9" spans="2:16" ht="13.5" customHeight="1">
      <c r="B9" s="23" t="s">
        <v>12</v>
      </c>
      <c r="C9" s="268">
        <v>40</v>
      </c>
      <c r="D9" s="17" t="s">
        <v>33</v>
      </c>
      <c r="E9" s="14"/>
      <c r="F9" s="265"/>
      <c r="G9" s="265"/>
      <c r="H9" s="265"/>
      <c r="I9" s="265"/>
      <c r="J9" s="265"/>
      <c r="K9" s="260"/>
      <c r="L9" s="263"/>
      <c r="M9" s="32"/>
      <c r="N9" s="14"/>
      <c r="O9" s="21"/>
      <c r="P9" s="267"/>
    </row>
    <row r="10" spans="2:16" ht="13.5" customHeight="1">
      <c r="B10" s="15" t="s">
        <v>36</v>
      </c>
      <c r="C10" s="16"/>
      <c r="D10" s="37"/>
      <c r="E10" s="14"/>
      <c r="F10" s="38"/>
      <c r="G10" s="38"/>
      <c r="H10" s="38"/>
      <c r="I10" s="38"/>
      <c r="J10" s="38"/>
      <c r="K10" s="38"/>
      <c r="L10" s="19"/>
      <c r="M10" s="32"/>
      <c r="N10" s="14"/>
      <c r="O10" s="27"/>
      <c r="P10" s="22"/>
    </row>
    <row r="11" spans="2:16" s="4" customFormat="1" ht="13.5" customHeight="1">
      <c r="B11" s="39" t="s">
        <v>37</v>
      </c>
      <c r="C11" s="257">
        <v>0.06</v>
      </c>
      <c r="D11" s="17" t="s">
        <v>34</v>
      </c>
      <c r="E11" s="41"/>
      <c r="F11" s="266"/>
      <c r="G11" s="266"/>
      <c r="H11" s="266"/>
      <c r="I11" s="266"/>
      <c r="J11" s="266"/>
      <c r="K11" s="263"/>
      <c r="L11" s="263"/>
      <c r="M11" s="40"/>
      <c r="N11" s="41"/>
      <c r="O11" s="21"/>
      <c r="P11" s="22"/>
    </row>
    <row r="12" spans="2:16" ht="13.5" customHeight="1">
      <c r="B12" s="15" t="s">
        <v>17</v>
      </c>
      <c r="C12" s="16"/>
      <c r="D12" s="42"/>
      <c r="E12" s="14"/>
      <c r="F12" s="38"/>
      <c r="G12" s="38"/>
      <c r="H12" s="38"/>
      <c r="I12" s="38"/>
      <c r="J12" s="38"/>
      <c r="K12" s="38"/>
      <c r="L12" s="19"/>
      <c r="M12" s="38"/>
      <c r="N12" s="14"/>
      <c r="O12" s="27"/>
      <c r="P12" s="22"/>
    </row>
    <row r="13" spans="2:16" ht="13.5" customHeight="1">
      <c r="B13" s="23" t="s">
        <v>1</v>
      </c>
      <c r="C13" s="251">
        <v>0.3</v>
      </c>
      <c r="D13" s="17" t="s">
        <v>34</v>
      </c>
      <c r="E13" s="14"/>
      <c r="F13" s="49"/>
      <c r="G13" s="265"/>
      <c r="H13" s="265"/>
      <c r="I13" s="265"/>
      <c r="J13" s="265"/>
      <c r="K13" s="260"/>
      <c r="L13" s="263"/>
      <c r="M13" s="260"/>
      <c r="N13" s="14"/>
      <c r="O13" s="149"/>
      <c r="P13" s="22"/>
    </row>
    <row r="14" spans="2:16" ht="13.5" customHeight="1">
      <c r="B14" s="15" t="s">
        <v>39</v>
      </c>
      <c r="C14" s="18"/>
      <c r="D14" s="37"/>
      <c r="E14" s="14"/>
      <c r="F14" s="38"/>
      <c r="G14" s="264"/>
      <c r="H14" s="264"/>
      <c r="I14" s="264"/>
      <c r="J14" s="264"/>
      <c r="K14" s="260"/>
      <c r="L14" s="263"/>
      <c r="M14" s="260"/>
      <c r="N14" s="14"/>
      <c r="O14" s="21"/>
      <c r="P14" s="45"/>
    </row>
    <row r="15" spans="2:16" ht="15.75" customHeight="1">
      <c r="B15" s="15"/>
      <c r="C15" s="18"/>
      <c r="D15" s="37"/>
      <c r="E15" s="38"/>
      <c r="F15" s="38"/>
      <c r="G15" s="262"/>
      <c r="H15" s="262"/>
      <c r="I15" s="262"/>
      <c r="J15" s="262"/>
      <c r="K15" s="261"/>
      <c r="L15" s="260"/>
      <c r="M15" s="14"/>
      <c r="N15" s="14"/>
      <c r="P15" s="22"/>
    </row>
    <row r="16" spans="2:16" ht="13.5" customHeight="1" thickBot="1">
      <c r="B16" s="183" t="s">
        <v>40</v>
      </c>
      <c r="C16" s="184"/>
      <c r="D16" s="47"/>
      <c r="E16" s="258"/>
      <c r="F16" s="259"/>
      <c r="G16" s="49"/>
      <c r="H16" s="51"/>
      <c r="I16" s="193"/>
      <c r="J16" s="49"/>
      <c r="K16" s="286" t="s">
        <v>42</v>
      </c>
      <c r="M16" s="14"/>
      <c r="N16" s="14"/>
      <c r="O16" s="43"/>
      <c r="P16" s="22"/>
    </row>
    <row r="17" spans="2:18" ht="13.5" customHeight="1">
      <c r="B17" s="52" t="s">
        <v>43</v>
      </c>
      <c r="C17" s="257">
        <v>0.03</v>
      </c>
      <c r="D17" s="17" t="s">
        <v>29</v>
      </c>
      <c r="E17" s="14"/>
      <c r="F17" s="242" t="s">
        <v>10</v>
      </c>
      <c r="G17" s="241"/>
      <c r="H17" s="241"/>
      <c r="I17" s="241"/>
      <c r="J17" s="241"/>
      <c r="K17" s="53"/>
      <c r="M17" s="14"/>
      <c r="N17" s="255" t="s">
        <v>77</v>
      </c>
      <c r="O17" s="4" t="s">
        <v>78</v>
      </c>
      <c r="P17" s="4" t="s">
        <v>79</v>
      </c>
      <c r="Q17" s="94" t="s">
        <v>80</v>
      </c>
      <c r="R17" s="4" t="s">
        <v>81</v>
      </c>
    </row>
    <row r="18" spans="2:20" ht="13.5" customHeight="1">
      <c r="B18" s="52" t="s">
        <v>44</v>
      </c>
      <c r="C18" s="251">
        <v>-0.01</v>
      </c>
      <c r="D18" s="17" t="s">
        <v>31</v>
      </c>
      <c r="E18" s="14"/>
      <c r="F18" s="285">
        <v>0.25</v>
      </c>
      <c r="G18" s="284"/>
      <c r="H18" s="284"/>
      <c r="I18" s="284"/>
      <c r="J18" s="284"/>
      <c r="K18" s="53"/>
      <c r="M18" s="14"/>
      <c r="N18" s="29">
        <f>O18+P18*(Q18-R18)</f>
        <v>-0.18</v>
      </c>
      <c r="O18" s="248">
        <f>F23</f>
        <v>0</v>
      </c>
      <c r="P18" s="248">
        <f>E31/E32</f>
        <v>3</v>
      </c>
      <c r="Q18" s="248">
        <f>O18</f>
        <v>0</v>
      </c>
      <c r="R18" s="248">
        <f>C11</f>
        <v>0.06</v>
      </c>
      <c r="S18" s="246" t="s">
        <v>82</v>
      </c>
      <c r="T18" s="248"/>
    </row>
    <row r="19" spans="2:19" ht="13.5" customHeight="1">
      <c r="B19" s="52" t="s">
        <v>76</v>
      </c>
      <c r="C19" s="251">
        <v>0.03</v>
      </c>
      <c r="D19" s="17" t="s">
        <v>33</v>
      </c>
      <c r="E19" s="14"/>
      <c r="F19" s="245"/>
      <c r="G19" s="283"/>
      <c r="H19" s="283"/>
      <c r="I19" s="283"/>
      <c r="J19" s="283"/>
      <c r="K19" s="53"/>
      <c r="M19" s="14"/>
      <c r="N19" s="29">
        <f>O19+P19*(Q19-R19)</f>
        <v>-0.126</v>
      </c>
      <c r="O19" s="247">
        <f>O18*0.7</f>
        <v>0</v>
      </c>
      <c r="P19" s="7">
        <f>P18</f>
        <v>3</v>
      </c>
      <c r="Q19" s="248">
        <f>O19</f>
        <v>0</v>
      </c>
      <c r="R19" s="247">
        <f>R18*0.7</f>
        <v>0.041999999999999996</v>
      </c>
      <c r="S19" s="246" t="s">
        <v>83</v>
      </c>
    </row>
    <row r="20" spans="2:14" ht="13.5" customHeight="1">
      <c r="B20" s="52" t="s">
        <v>45</v>
      </c>
      <c r="C20" s="57"/>
      <c r="D20" s="242"/>
      <c r="E20" s="14"/>
      <c r="F20" s="245"/>
      <c r="G20" s="244"/>
      <c r="H20" s="244"/>
      <c r="I20" s="244"/>
      <c r="J20" s="244"/>
      <c r="K20" s="53"/>
      <c r="M20" s="14"/>
      <c r="N20" s="14"/>
    </row>
    <row r="21" spans="2:14" ht="13.5" customHeight="1">
      <c r="B21" s="52" t="s">
        <v>46</v>
      </c>
      <c r="C21" s="57"/>
      <c r="D21" s="57"/>
      <c r="E21" s="14"/>
      <c r="F21" s="242"/>
      <c r="G21" s="243"/>
      <c r="H21" s="243"/>
      <c r="I21" s="243"/>
      <c r="J21" s="243"/>
      <c r="K21" s="53"/>
      <c r="M21" s="14"/>
      <c r="N21" s="14"/>
    </row>
    <row r="22" spans="2:16" ht="13.5" customHeight="1">
      <c r="B22" s="52" t="s">
        <v>47</v>
      </c>
      <c r="C22" s="18"/>
      <c r="D22" s="33"/>
      <c r="E22" s="14"/>
      <c r="F22" s="242"/>
      <c r="G22" s="242"/>
      <c r="H22" s="242"/>
      <c r="I22" s="242"/>
      <c r="J22" s="242"/>
      <c r="K22" s="53"/>
      <c r="M22" s="14"/>
      <c r="N22" s="14"/>
      <c r="P22" s="7"/>
    </row>
    <row r="23" spans="2:16" ht="13.5" customHeight="1">
      <c r="B23" s="52" t="s">
        <v>75</v>
      </c>
      <c r="C23" s="18"/>
      <c r="D23" s="33"/>
      <c r="E23" s="14"/>
      <c r="F23" s="242"/>
      <c r="G23" s="242"/>
      <c r="H23" s="242"/>
      <c r="I23" s="242"/>
      <c r="J23" s="242"/>
      <c r="K23" s="53"/>
      <c r="M23" s="14"/>
      <c r="N23" s="14"/>
      <c r="P23" s="7"/>
    </row>
    <row r="24" spans="2:16" ht="13.5" customHeight="1">
      <c r="B24" s="52"/>
      <c r="C24" s="18"/>
      <c r="D24" s="33"/>
      <c r="E24" s="242"/>
      <c r="F24" s="242"/>
      <c r="G24" s="242"/>
      <c r="H24" s="242"/>
      <c r="I24" s="242"/>
      <c r="J24" s="242"/>
      <c r="K24" s="242"/>
      <c r="L24" s="241"/>
      <c r="M24" s="14"/>
      <c r="N24" s="14"/>
      <c r="P24" s="7"/>
    </row>
    <row r="25" spans="2:15" ht="13.5" customHeight="1">
      <c r="B25" s="52"/>
      <c r="C25" s="65"/>
      <c r="D25" s="66"/>
      <c r="E25" s="282"/>
      <c r="F25" s="146"/>
      <c r="G25" s="66"/>
      <c r="H25" s="67"/>
      <c r="J25" s="66"/>
      <c r="K25" s="66"/>
      <c r="L25" s="68"/>
      <c r="M25" s="14"/>
      <c r="N25" s="14"/>
      <c r="O25" s="69"/>
    </row>
    <row r="26" spans="2:18" ht="13.5" customHeight="1" thickBot="1">
      <c r="B26" s="182" t="s">
        <v>132</v>
      </c>
      <c r="C26" s="70"/>
      <c r="D26" s="12" t="s">
        <v>28</v>
      </c>
      <c r="E26" s="71">
        <f>F26-1</f>
        <v>2012</v>
      </c>
      <c r="F26" s="71">
        <f>F3</f>
        <v>2013</v>
      </c>
      <c r="G26" s="71">
        <f>G3</f>
        <v>2014</v>
      </c>
      <c r="H26" s="71">
        <f>H3</f>
        <v>2015</v>
      </c>
      <c r="I26" s="71">
        <f>I3</f>
        <v>2016</v>
      </c>
      <c r="J26" s="71">
        <f>J3</f>
        <v>2017</v>
      </c>
      <c r="K26" s="72"/>
      <c r="L26" s="72"/>
      <c r="M26" s="28"/>
      <c r="N26" s="14"/>
      <c r="O26" s="73"/>
      <c r="P26" s="74"/>
      <c r="Q26" s="13"/>
      <c r="R26" s="75"/>
    </row>
    <row r="27" spans="2:18" ht="13.5" customHeight="1">
      <c r="B27" s="23" t="s">
        <v>2</v>
      </c>
      <c r="C27" s="257">
        <v>0.2</v>
      </c>
      <c r="D27" s="17" t="s">
        <v>35</v>
      </c>
      <c r="E27" s="19"/>
      <c r="F27" s="38"/>
      <c r="G27" s="38"/>
      <c r="H27" s="38"/>
      <c r="I27" s="38"/>
      <c r="J27" s="38"/>
      <c r="K27" s="19"/>
      <c r="L27" s="19"/>
      <c r="M27" s="28"/>
      <c r="O27" s="27"/>
      <c r="P27" s="239"/>
      <c r="Q27" s="77"/>
      <c r="R27" s="22"/>
    </row>
    <row r="28" spans="2:18" ht="13.5" customHeight="1">
      <c r="B28" s="23" t="s">
        <v>49</v>
      </c>
      <c r="C28" s="158">
        <v>0</v>
      </c>
      <c r="D28" s="17" t="s">
        <v>35</v>
      </c>
      <c r="E28" s="224">
        <v>200</v>
      </c>
      <c r="F28" s="79"/>
      <c r="G28" s="79"/>
      <c r="H28" s="79"/>
      <c r="I28" s="79"/>
      <c r="J28" s="79"/>
      <c r="K28" s="19"/>
      <c r="L28" s="19"/>
      <c r="M28" s="28"/>
      <c r="O28" s="27"/>
      <c r="Q28" s="77"/>
      <c r="R28" s="22"/>
    </row>
    <row r="29" spans="2:18" ht="13.5" customHeight="1">
      <c r="B29" s="15" t="s">
        <v>50</v>
      </c>
      <c r="C29" s="18"/>
      <c r="D29" s="58"/>
      <c r="E29" s="38">
        <f>E27+E28</f>
        <v>200</v>
      </c>
      <c r="F29" s="38"/>
      <c r="G29" s="38"/>
      <c r="H29" s="38"/>
      <c r="I29" s="38"/>
      <c r="J29" s="38"/>
      <c r="K29" s="19"/>
      <c r="L29" s="19"/>
      <c r="P29" s="22"/>
      <c r="Q29" s="77"/>
      <c r="R29" s="22"/>
    </row>
    <row r="30" spans="2:18" ht="6.75" customHeight="1">
      <c r="B30" s="23"/>
      <c r="C30" s="18"/>
      <c r="D30" s="18"/>
      <c r="E30" s="19"/>
      <c r="F30" s="38"/>
      <c r="G30" s="18"/>
      <c r="H30" s="18"/>
      <c r="I30" s="18"/>
      <c r="J30" s="18"/>
      <c r="K30" s="19"/>
      <c r="L30" s="19"/>
      <c r="O30" s="27"/>
      <c r="P30" s="80"/>
      <c r="Q30" s="77"/>
      <c r="R30" s="22"/>
    </row>
    <row r="31" spans="2:18" ht="13.5" customHeight="1">
      <c r="B31" s="23" t="s">
        <v>247</v>
      </c>
      <c r="C31" s="81"/>
      <c r="D31" s="17" t="s">
        <v>38</v>
      </c>
      <c r="E31" s="225">
        <v>150</v>
      </c>
      <c r="F31" s="19"/>
      <c r="G31" s="19"/>
      <c r="H31" s="19"/>
      <c r="I31" s="19"/>
      <c r="J31" s="38"/>
      <c r="K31" s="19"/>
      <c r="L31" s="19"/>
      <c r="N31" s="35"/>
      <c r="O31" s="27"/>
      <c r="P31" s="80"/>
      <c r="Q31" s="77"/>
      <c r="R31" s="22"/>
    </row>
    <row r="32" spans="2:18" ht="13.5" customHeight="1">
      <c r="B32" s="23" t="s">
        <v>246</v>
      </c>
      <c r="C32" s="82"/>
      <c r="D32" s="17" t="s">
        <v>48</v>
      </c>
      <c r="E32" s="224">
        <v>50</v>
      </c>
      <c r="F32" s="79"/>
      <c r="G32" s="79"/>
      <c r="H32" s="49"/>
      <c r="I32" s="49"/>
      <c r="J32" s="49"/>
      <c r="K32" s="19"/>
      <c r="L32" s="19"/>
      <c r="N32" s="35"/>
      <c r="O32" s="21"/>
      <c r="P32" s="22"/>
      <c r="Q32" s="77"/>
      <c r="R32" s="22"/>
    </row>
    <row r="33" spans="2:18" ht="12" customHeight="1">
      <c r="B33" s="15" t="s">
        <v>53</v>
      </c>
      <c r="C33" s="18"/>
      <c r="D33" s="18"/>
      <c r="E33" s="18">
        <f>E32+E31</f>
        <v>200</v>
      </c>
      <c r="F33" s="18"/>
      <c r="G33" s="18"/>
      <c r="H33" s="18"/>
      <c r="I33" s="18"/>
      <c r="J33" s="18"/>
      <c r="K33" s="19"/>
      <c r="L33" s="19"/>
      <c r="N33" s="35"/>
      <c r="O33" s="27"/>
      <c r="P33" s="22"/>
      <c r="Q33" s="77"/>
      <c r="R33" s="22"/>
    </row>
    <row r="34" spans="3:18" ht="19.5" customHeight="1">
      <c r="C34" s="281" t="s">
        <v>245</v>
      </c>
      <c r="D34" s="17" t="s">
        <v>68</v>
      </c>
      <c r="E34" s="38">
        <f>E33-E29</f>
        <v>0</v>
      </c>
      <c r="F34" s="38"/>
      <c r="G34" s="38"/>
      <c r="H34" s="38"/>
      <c r="I34" s="38"/>
      <c r="J34" s="38"/>
      <c r="K34" s="19"/>
      <c r="L34" s="19"/>
      <c r="N34" s="35"/>
      <c r="O34" s="27"/>
      <c r="P34" s="22"/>
      <c r="Q34" s="22"/>
      <c r="R34" s="14"/>
    </row>
    <row r="35" spans="3:16" ht="12.75" customHeight="1">
      <c r="C35" s="281" t="s">
        <v>55</v>
      </c>
      <c r="D35" s="17" t="s">
        <v>68</v>
      </c>
      <c r="E35" s="19"/>
      <c r="F35" s="38"/>
      <c r="G35" s="38"/>
      <c r="H35" s="38"/>
      <c r="I35" s="38"/>
      <c r="J35" s="38"/>
      <c r="K35" s="19"/>
      <c r="L35" s="19"/>
      <c r="N35" s="35"/>
      <c r="P35" s="22"/>
    </row>
    <row r="36" spans="2:16" ht="12.75" customHeight="1">
      <c r="B36" s="83"/>
      <c r="C36" s="3"/>
      <c r="D36" s="84"/>
      <c r="E36" s="22"/>
      <c r="F36" s="22"/>
      <c r="G36" s="22"/>
      <c r="H36" s="22"/>
      <c r="I36" s="22"/>
      <c r="J36" s="22"/>
      <c r="K36" s="22"/>
      <c r="L36" s="85"/>
      <c r="N36" s="35"/>
      <c r="P36" s="22"/>
    </row>
    <row r="37" spans="2:14" ht="12.75" customHeight="1">
      <c r="B37" s="83"/>
      <c r="C37" s="3"/>
      <c r="D37" s="84"/>
      <c r="E37" s="22"/>
      <c r="F37" s="22"/>
      <c r="G37" s="22"/>
      <c r="H37" s="22"/>
      <c r="I37" s="22"/>
      <c r="J37" s="22"/>
      <c r="K37" s="22"/>
      <c r="N37" s="35"/>
    </row>
    <row r="38" spans="1:14" ht="12.75" customHeight="1" thickBot="1">
      <c r="A38" s="86"/>
      <c r="B38" s="87" t="s">
        <v>56</v>
      </c>
      <c r="C38" s="88"/>
      <c r="D38" s="89"/>
      <c r="E38" s="226"/>
      <c r="F38" s="226"/>
      <c r="G38" s="226"/>
      <c r="H38" s="90"/>
      <c r="I38" s="22"/>
      <c r="J38" s="22"/>
      <c r="K38" s="22"/>
      <c r="N38" s="35"/>
    </row>
    <row r="39" spans="1:14" ht="12.75" customHeight="1">
      <c r="A39" s="86"/>
      <c r="B39" s="85" t="s">
        <v>142</v>
      </c>
      <c r="C39" s="91"/>
      <c r="D39" s="92"/>
      <c r="E39" s="227"/>
      <c r="F39" s="227"/>
      <c r="G39" s="85"/>
      <c r="H39" s="77"/>
      <c r="I39" s="22"/>
      <c r="J39" s="22"/>
      <c r="L39" s="77"/>
      <c r="N39" s="35"/>
    </row>
    <row r="40" spans="1:14" ht="12.75" customHeight="1">
      <c r="A40" s="93" t="s">
        <v>29</v>
      </c>
      <c r="B40" s="94" t="s">
        <v>244</v>
      </c>
      <c r="C40" s="91"/>
      <c r="D40" s="92"/>
      <c r="E40" s="227"/>
      <c r="F40" s="227"/>
      <c r="G40" s="85"/>
      <c r="H40" s="77"/>
      <c r="I40" s="22"/>
      <c r="J40" s="22"/>
      <c r="L40" s="77"/>
      <c r="N40" s="35"/>
    </row>
    <row r="41" spans="1:14" ht="12.75" customHeight="1">
      <c r="A41" s="93" t="s">
        <v>29</v>
      </c>
      <c r="B41" s="94" t="s">
        <v>243</v>
      </c>
      <c r="C41" s="95"/>
      <c r="E41" s="22"/>
      <c r="F41" s="22"/>
      <c r="G41" s="22"/>
      <c r="H41" s="22"/>
      <c r="I41" s="22"/>
      <c r="J41" s="22"/>
      <c r="K41" s="22"/>
      <c r="N41" s="35"/>
    </row>
    <row r="42" spans="1:14" ht="12.75" customHeight="1">
      <c r="A42" s="93" t="s">
        <v>57</v>
      </c>
      <c r="B42" s="94" t="s">
        <v>242</v>
      </c>
      <c r="C42" s="95"/>
      <c r="D42" s="86"/>
      <c r="E42" s="22"/>
      <c r="F42" s="22"/>
      <c r="G42" s="22"/>
      <c r="H42" s="22"/>
      <c r="I42" s="22"/>
      <c r="J42" s="22"/>
      <c r="K42" s="22"/>
      <c r="N42" s="35"/>
    </row>
    <row r="43" spans="1:14" ht="12.75" customHeight="1">
      <c r="A43" s="93" t="s">
        <v>58</v>
      </c>
      <c r="B43" s="94" t="s">
        <v>241</v>
      </c>
      <c r="C43" s="95"/>
      <c r="D43" s="86"/>
      <c r="E43" s="22"/>
      <c r="F43" s="22"/>
      <c r="G43" s="22"/>
      <c r="H43" s="22"/>
      <c r="I43" s="22"/>
      <c r="J43" s="22"/>
      <c r="K43" s="22"/>
      <c r="N43" s="35"/>
    </row>
    <row r="44" spans="1:14" ht="12.75" customHeight="1">
      <c r="A44" s="93" t="s">
        <v>34</v>
      </c>
      <c r="B44" s="94" t="s">
        <v>240</v>
      </c>
      <c r="D44" s="96"/>
      <c r="E44" s="97"/>
      <c r="F44" s="97"/>
      <c r="G44" s="22"/>
      <c r="H44" s="22"/>
      <c r="I44" s="22"/>
      <c r="J44" s="22"/>
      <c r="K44" s="22"/>
      <c r="N44" s="35"/>
    </row>
    <row r="45" spans="1:14" ht="12.75" customHeight="1">
      <c r="A45" s="93" t="s">
        <v>35</v>
      </c>
      <c r="B45" s="94" t="s">
        <v>239</v>
      </c>
      <c r="D45" s="96"/>
      <c r="E45" s="97"/>
      <c r="F45" s="97"/>
      <c r="G45" s="22"/>
      <c r="H45" s="22"/>
      <c r="I45" s="22"/>
      <c r="J45" s="22"/>
      <c r="K45" s="22"/>
      <c r="N45" s="35"/>
    </row>
    <row r="46" spans="1:14" ht="12.75" customHeight="1">
      <c r="A46" s="93" t="s">
        <v>35</v>
      </c>
      <c r="B46" s="3" t="s">
        <v>238</v>
      </c>
      <c r="D46" s="96"/>
      <c r="E46" s="97"/>
      <c r="F46" s="97"/>
      <c r="G46" s="22"/>
      <c r="H46" s="22"/>
      <c r="I46" s="22"/>
      <c r="J46" s="22"/>
      <c r="K46" s="22"/>
      <c r="N46" s="35"/>
    </row>
    <row r="47" spans="1:14" ht="12.75" customHeight="1">
      <c r="A47" s="93" t="s">
        <v>38</v>
      </c>
      <c r="B47" s="3" t="s">
        <v>237</v>
      </c>
      <c r="C47" s="97"/>
      <c r="D47" s="96"/>
      <c r="E47" s="97"/>
      <c r="F47" s="97"/>
      <c r="G47" s="22"/>
      <c r="H47" s="22"/>
      <c r="I47" s="22"/>
      <c r="J47" s="22"/>
      <c r="K47" s="22"/>
      <c r="N47" s="35"/>
    </row>
    <row r="48" spans="1:14" ht="12.75" customHeight="1">
      <c r="A48" s="93" t="s">
        <v>48</v>
      </c>
      <c r="B48" s="3" t="s">
        <v>236</v>
      </c>
      <c r="I48" s="22"/>
      <c r="J48" s="22"/>
      <c r="K48" s="22"/>
      <c r="N48" s="35"/>
    </row>
    <row r="49" spans="1:2" ht="12.75" customHeight="1">
      <c r="A49" s="93" t="s">
        <v>68</v>
      </c>
      <c r="B49" s="3" t="s">
        <v>59</v>
      </c>
    </row>
    <row r="50" spans="3:14" ht="12.75" customHeight="1">
      <c r="C50" s="3"/>
      <c r="D50" s="84"/>
      <c r="E50" s="22"/>
      <c r="F50" s="22"/>
      <c r="G50" s="22"/>
      <c r="H50" s="22"/>
      <c r="I50" s="22"/>
      <c r="J50" s="22"/>
      <c r="K50" s="22"/>
      <c r="N50" s="35"/>
    </row>
    <row r="51" spans="3:14" ht="12.75" customHeight="1">
      <c r="C51" s="3"/>
      <c r="D51" s="84"/>
      <c r="E51" s="22"/>
      <c r="F51" s="22"/>
      <c r="G51" s="22"/>
      <c r="N51" s="35"/>
    </row>
    <row r="52" spans="7:14" ht="12.75" customHeight="1">
      <c r="G52" s="98"/>
      <c r="I52" s="99"/>
      <c r="J52" s="99"/>
      <c r="K52" s="4" t="s">
        <v>274</v>
      </c>
      <c r="N52" s="35"/>
    </row>
    <row r="53" spans="2:14" ht="27" customHeight="1">
      <c r="B53" s="100"/>
      <c r="C53" s="101"/>
      <c r="D53" s="101"/>
      <c r="F53" s="5" t="s">
        <v>97</v>
      </c>
      <c r="H53" s="238"/>
      <c r="K53" s="340" t="s">
        <v>340</v>
      </c>
      <c r="L53" s="4"/>
      <c r="N53" s="58"/>
    </row>
    <row r="54" spans="5:14" s="86" customFormat="1" ht="13.5" customHeight="1">
      <c r="E54" s="28"/>
      <c r="F54" s="28"/>
      <c r="G54" s="28"/>
      <c r="H54" s="28"/>
      <c r="I54" s="28"/>
      <c r="J54" s="28"/>
      <c r="K54" s="28"/>
      <c r="N54" s="58"/>
    </row>
    <row r="55" spans="2:14" s="86" customFormat="1" ht="13.5" customHeight="1">
      <c r="B55" s="103"/>
      <c r="C55" s="104"/>
      <c r="D55" s="105"/>
      <c r="E55" s="162">
        <f aca="true" t="shared" si="0" ref="E55:J55">E26</f>
        <v>2012</v>
      </c>
      <c r="F55" s="162">
        <f t="shared" si="0"/>
        <v>2013</v>
      </c>
      <c r="G55" s="162">
        <f t="shared" si="0"/>
        <v>2014</v>
      </c>
      <c r="H55" s="162">
        <f t="shared" si="0"/>
        <v>2015</v>
      </c>
      <c r="I55" s="162">
        <f t="shared" si="0"/>
        <v>2016</v>
      </c>
      <c r="J55" s="162">
        <f t="shared" si="0"/>
        <v>2017</v>
      </c>
      <c r="K55" s="72"/>
      <c r="L55" s="106"/>
      <c r="M55" s="107" t="s">
        <v>60</v>
      </c>
      <c r="N55" s="31"/>
    </row>
    <row r="56" spans="2:14" s="86" customFormat="1" ht="13.5" customHeight="1" thickBot="1">
      <c r="B56" s="89" t="s">
        <v>87</v>
      </c>
      <c r="C56" s="184"/>
      <c r="D56" s="68"/>
      <c r="E56" s="171">
        <v>0</v>
      </c>
      <c r="F56" s="171">
        <v>1</v>
      </c>
      <c r="G56" s="171">
        <v>2</v>
      </c>
      <c r="H56" s="171">
        <v>3</v>
      </c>
      <c r="I56" s="171">
        <v>4</v>
      </c>
      <c r="J56" s="171">
        <v>5</v>
      </c>
      <c r="K56" s="72"/>
      <c r="L56" s="72"/>
      <c r="M56" s="6" t="s">
        <v>22</v>
      </c>
      <c r="N56" s="6" t="s">
        <v>62</v>
      </c>
    </row>
    <row r="57" spans="2:14" s="86" customFormat="1" ht="13.5" customHeight="1">
      <c r="B57" s="23" t="s">
        <v>61</v>
      </c>
      <c r="C57" s="108"/>
      <c r="D57" s="17" t="s">
        <v>29</v>
      </c>
      <c r="E57" s="19"/>
      <c r="F57" s="18"/>
      <c r="G57" s="18"/>
      <c r="H57" s="18"/>
      <c r="I57" s="18"/>
      <c r="J57" s="18"/>
      <c r="K57" s="19"/>
      <c r="L57" s="109"/>
      <c r="M57" s="110">
        <v>0.2</v>
      </c>
      <c r="N57" s="110">
        <v>0</v>
      </c>
    </row>
    <row r="58" spans="2:14" s="86" customFormat="1" ht="13.5" customHeight="1">
      <c r="B58" s="170" t="s">
        <v>89</v>
      </c>
      <c r="C58" s="108"/>
      <c r="D58" s="17"/>
      <c r="E58" s="79"/>
      <c r="F58" s="172"/>
      <c r="G58" s="172"/>
      <c r="H58" s="172"/>
      <c r="I58" s="172"/>
      <c r="J58" s="172"/>
      <c r="K58" s="19"/>
      <c r="L58" s="109"/>
      <c r="M58" s="95" t="s">
        <v>15</v>
      </c>
      <c r="N58" s="111">
        <f>J10</f>
        <v>0</v>
      </c>
    </row>
    <row r="59" spans="2:14" s="86" customFormat="1" ht="13.5" customHeight="1">
      <c r="B59" s="113" t="s">
        <v>90</v>
      </c>
      <c r="C59" s="108"/>
      <c r="D59" s="17"/>
      <c r="E59" s="82"/>
      <c r="F59" s="82"/>
      <c r="G59" s="82"/>
      <c r="H59" s="82"/>
      <c r="I59" s="82"/>
      <c r="J59" s="82"/>
      <c r="K59" s="106"/>
      <c r="L59" s="104"/>
      <c r="M59" s="4" t="s">
        <v>114</v>
      </c>
      <c r="N59" s="112">
        <f>N58/(M57-N57)</f>
        <v>0</v>
      </c>
    </row>
    <row r="60" spans="2:16" s="86" customFormat="1" ht="21" customHeight="1">
      <c r="B60" s="113" t="s">
        <v>93</v>
      </c>
      <c r="C60" s="108"/>
      <c r="D60" s="58"/>
      <c r="E60" s="175"/>
      <c r="F60" s="175"/>
      <c r="G60" s="175"/>
      <c r="H60" s="175"/>
      <c r="I60" s="175"/>
      <c r="J60" s="175"/>
      <c r="K60" s="106"/>
      <c r="L60" s="104"/>
      <c r="M60" s="58"/>
      <c r="N60" s="3"/>
      <c r="O60" s="4"/>
      <c r="P60" s="112"/>
    </row>
    <row r="61" spans="2:15" s="86" customFormat="1" ht="13.5" customHeight="1">
      <c r="B61" s="68"/>
      <c r="C61" s="108"/>
      <c r="D61" s="58"/>
      <c r="E61" s="232"/>
      <c r="F61" s="232"/>
      <c r="G61" s="18"/>
      <c r="H61" s="18"/>
      <c r="I61" s="18"/>
      <c r="J61" s="18"/>
      <c r="K61" s="18"/>
      <c r="L61" s="104"/>
      <c r="M61" s="58"/>
      <c r="N61" s="3"/>
      <c r="O61" s="3"/>
    </row>
    <row r="62" spans="2:15" s="86" customFormat="1" ht="13.5" customHeight="1">
      <c r="B62" s="72" t="s">
        <v>197</v>
      </c>
      <c r="C62" s="78" t="s">
        <v>196</v>
      </c>
      <c r="D62" s="115">
        <v>0.15</v>
      </c>
      <c r="F62" s="232" t="s">
        <v>103</v>
      </c>
      <c r="G62" s="234"/>
      <c r="H62" s="81" t="s">
        <v>66</v>
      </c>
      <c r="I62" s="233"/>
      <c r="J62" s="81" t="s">
        <v>67</v>
      </c>
      <c r="K62" s="118"/>
      <c r="L62" s="104"/>
      <c r="M62" s="119"/>
      <c r="N62" s="3"/>
      <c r="O62" s="3"/>
    </row>
    <row r="63" spans="2:15" s="86" customFormat="1" ht="13.5" customHeight="1">
      <c r="B63" s="72" t="s">
        <v>93</v>
      </c>
      <c r="C63" s="78" t="s">
        <v>196</v>
      </c>
      <c r="D63" s="115">
        <f>D62*(1-C13)</f>
        <v>0.105</v>
      </c>
      <c r="E63" s="232"/>
      <c r="F63" s="232" t="s">
        <v>103</v>
      </c>
      <c r="G63" s="234"/>
      <c r="H63" s="81" t="s">
        <v>66</v>
      </c>
      <c r="I63" s="280"/>
      <c r="J63" s="81" t="s">
        <v>67</v>
      </c>
      <c r="K63" s="118"/>
      <c r="L63" s="104"/>
      <c r="M63" s="58"/>
      <c r="N63" s="3"/>
      <c r="O63" s="3"/>
    </row>
    <row r="64" spans="11:15" s="86" customFormat="1" ht="13.5" customHeight="1">
      <c r="K64" s="18"/>
      <c r="L64" s="104"/>
      <c r="M64" s="58"/>
      <c r="N64" s="3"/>
      <c r="O64" s="3"/>
    </row>
    <row r="65" spans="2:15" s="86" customFormat="1" ht="13.5" customHeight="1">
      <c r="B65" s="120"/>
      <c r="C65" s="17"/>
      <c r="D65" s="3"/>
      <c r="E65" s="121"/>
      <c r="F65" s="121"/>
      <c r="G65" s="122"/>
      <c r="H65" s="68"/>
      <c r="I65" s="106"/>
      <c r="J65" s="122"/>
      <c r="K65" s="18"/>
      <c r="L65" s="104"/>
      <c r="M65" s="58"/>
      <c r="N65" s="3"/>
      <c r="O65" s="3"/>
    </row>
    <row r="66" spans="2:14" ht="13.5" customHeight="1" thickBot="1">
      <c r="B66" s="89" t="s">
        <v>94</v>
      </c>
      <c r="C66" s="184"/>
      <c r="D66" s="68"/>
      <c r="E66" s="171">
        <f aca="true" t="shared" si="1" ref="E66:J66">E56</f>
        <v>0</v>
      </c>
      <c r="F66" s="171">
        <f t="shared" si="1"/>
        <v>1</v>
      </c>
      <c r="G66" s="171">
        <f t="shared" si="1"/>
        <v>2</v>
      </c>
      <c r="H66" s="171">
        <f t="shared" si="1"/>
        <v>3</v>
      </c>
      <c r="I66" s="171">
        <f t="shared" si="1"/>
        <v>4</v>
      </c>
      <c r="J66" s="171">
        <f t="shared" si="1"/>
        <v>5</v>
      </c>
      <c r="K66" s="72"/>
      <c r="L66" s="72"/>
      <c r="M66" s="107" t="s">
        <v>60</v>
      </c>
      <c r="N66" s="31"/>
    </row>
    <row r="67" spans="2:14" ht="13.5" customHeight="1">
      <c r="B67" s="23" t="s">
        <v>61</v>
      </c>
      <c r="C67" s="108"/>
      <c r="D67" s="17" t="s">
        <v>29</v>
      </c>
      <c r="E67" s="19"/>
      <c r="F67" s="19"/>
      <c r="G67" s="19"/>
      <c r="H67" s="19"/>
      <c r="I67" s="19"/>
      <c r="J67" s="19"/>
      <c r="L67" s="109"/>
      <c r="M67" s="6" t="s">
        <v>22</v>
      </c>
      <c r="N67" s="6" t="s">
        <v>62</v>
      </c>
    </row>
    <row r="68" spans="2:16" ht="13.5" customHeight="1">
      <c r="B68" s="23" t="s">
        <v>63</v>
      </c>
      <c r="C68" s="108"/>
      <c r="D68" s="17" t="s">
        <v>31</v>
      </c>
      <c r="E68" s="19"/>
      <c r="F68" s="38"/>
      <c r="G68" s="38"/>
      <c r="H68" s="38"/>
      <c r="I68" s="38"/>
      <c r="J68" s="38"/>
      <c r="L68" s="109"/>
      <c r="M68" s="110">
        <v>0.2</v>
      </c>
      <c r="N68" s="110">
        <v>0</v>
      </c>
      <c r="P68" s="111"/>
    </row>
    <row r="69" spans="2:14" ht="13.5" customHeight="1">
      <c r="B69" s="170" t="s">
        <v>95</v>
      </c>
      <c r="C69" s="108"/>
      <c r="D69" s="17"/>
      <c r="E69" s="49"/>
      <c r="F69" s="49"/>
      <c r="G69" s="49"/>
      <c r="H69" s="49"/>
      <c r="I69" s="49"/>
      <c r="J69" s="49"/>
      <c r="L69" s="109"/>
      <c r="M69" s="95" t="s">
        <v>64</v>
      </c>
      <c r="N69" s="111">
        <f>J14</f>
        <v>0</v>
      </c>
    </row>
    <row r="70" spans="2:14" ht="13.5" customHeight="1">
      <c r="B70" s="113" t="s">
        <v>65</v>
      </c>
      <c r="C70" s="108"/>
      <c r="D70" s="17" t="s">
        <v>33</v>
      </c>
      <c r="E70" s="81"/>
      <c r="F70" s="81"/>
      <c r="G70" s="81"/>
      <c r="H70" s="81"/>
      <c r="I70" s="81"/>
      <c r="J70" s="81"/>
      <c r="L70" s="104"/>
      <c r="M70" s="4" t="s">
        <v>114</v>
      </c>
      <c r="N70" s="112">
        <f>N69/(M68-N68)</f>
        <v>0</v>
      </c>
    </row>
    <row r="71" spans="2:13" ht="13.5" customHeight="1">
      <c r="B71" s="68"/>
      <c r="C71" s="108"/>
      <c r="D71" s="58"/>
      <c r="E71" s="232"/>
      <c r="F71" s="232"/>
      <c r="G71" s="18"/>
      <c r="H71" s="18"/>
      <c r="I71" s="18"/>
      <c r="J71" s="18"/>
      <c r="K71" s="18"/>
      <c r="L71" s="104"/>
      <c r="M71" s="58"/>
    </row>
    <row r="72" spans="2:13" ht="13.5" customHeight="1">
      <c r="B72" s="72" t="s">
        <v>212</v>
      </c>
      <c r="C72" s="78" t="s">
        <v>198</v>
      </c>
      <c r="D72" s="115">
        <v>0.15</v>
      </c>
      <c r="F72" s="232" t="s">
        <v>103</v>
      </c>
      <c r="G72" s="234"/>
      <c r="H72" s="81" t="s">
        <v>66</v>
      </c>
      <c r="I72" s="233"/>
      <c r="J72" s="81" t="s">
        <v>67</v>
      </c>
      <c r="K72" s="118"/>
      <c r="L72" s="104"/>
      <c r="M72" s="119"/>
    </row>
    <row r="73" spans="2:13" ht="13.5" customHeight="1">
      <c r="B73" s="68"/>
      <c r="C73" s="108"/>
      <c r="D73" s="58"/>
      <c r="E73" s="232"/>
      <c r="F73" s="232"/>
      <c r="G73" s="18"/>
      <c r="H73" s="18"/>
      <c r="I73" s="18"/>
      <c r="J73" s="18"/>
      <c r="K73" s="18"/>
      <c r="L73" s="104"/>
      <c r="M73" s="58"/>
    </row>
    <row r="75" spans="2:12" ht="13.5" customHeight="1" thickBot="1">
      <c r="B75" s="89" t="s">
        <v>112</v>
      </c>
      <c r="C75" s="184"/>
      <c r="D75" s="185"/>
      <c r="E75" s="231"/>
      <c r="F75" s="230"/>
      <c r="G75" s="58"/>
      <c r="L75" s="68"/>
    </row>
    <row r="76" spans="3:12" ht="13.5" customHeight="1">
      <c r="C76" s="3"/>
      <c r="F76" s="230"/>
      <c r="G76" s="58"/>
      <c r="L76" s="68"/>
    </row>
    <row r="77" spans="2:12" ht="13.5" customHeight="1">
      <c r="B77" s="204"/>
      <c r="C77" s="205" t="s">
        <v>161</v>
      </c>
      <c r="D77" s="206"/>
      <c r="E77" s="229"/>
      <c r="F77" s="122"/>
      <c r="L77" s="68"/>
    </row>
    <row r="78" spans="2:12" ht="13.5" customHeight="1">
      <c r="B78" s="272" t="s">
        <v>235</v>
      </c>
      <c r="C78" s="187">
        <v>300</v>
      </c>
      <c r="D78" s="187">
        <v>400</v>
      </c>
      <c r="E78" s="188">
        <v>500</v>
      </c>
      <c r="F78" s="42"/>
      <c r="G78" s="204"/>
      <c r="H78" s="208"/>
      <c r="I78" s="209" t="s">
        <v>234</v>
      </c>
      <c r="J78" s="210"/>
      <c r="L78" s="68"/>
    </row>
    <row r="79" spans="2:12" ht="13.5" customHeight="1">
      <c r="B79" s="277" t="s">
        <v>202</v>
      </c>
      <c r="C79" s="128"/>
      <c r="D79" s="128"/>
      <c r="E79" s="129"/>
      <c r="F79" s="128"/>
      <c r="G79" s="197" t="s">
        <v>106</v>
      </c>
      <c r="H79" s="50"/>
      <c r="I79" s="124" t="s">
        <v>6</v>
      </c>
      <c r="J79" s="195" t="s">
        <v>107</v>
      </c>
      <c r="L79" s="68"/>
    </row>
    <row r="80" spans="2:12" ht="13.5" customHeight="1">
      <c r="B80" s="189" t="s">
        <v>203</v>
      </c>
      <c r="C80" s="181"/>
      <c r="D80" s="181"/>
      <c r="E80" s="190"/>
      <c r="F80" s="128"/>
      <c r="G80" s="131" t="s">
        <v>69</v>
      </c>
      <c r="H80" s="42"/>
      <c r="I80" s="125" t="s">
        <v>10</v>
      </c>
      <c r="J80" s="196"/>
      <c r="L80" s="68"/>
    </row>
    <row r="81" spans="2:10" ht="13.5" customHeight="1">
      <c r="B81" s="189" t="s">
        <v>204</v>
      </c>
      <c r="C81" s="128"/>
      <c r="D81" s="128"/>
      <c r="E81" s="129"/>
      <c r="F81" s="128"/>
      <c r="G81" s="131" t="s">
        <v>70</v>
      </c>
      <c r="H81" s="42"/>
      <c r="I81" s="125"/>
      <c r="J81" s="196"/>
    </row>
    <row r="82" spans="2:16" ht="13.5" customHeight="1">
      <c r="B82" s="189" t="s">
        <v>104</v>
      </c>
      <c r="C82" s="42"/>
      <c r="D82" s="42"/>
      <c r="E82" s="221"/>
      <c r="F82" s="128"/>
      <c r="G82" s="197" t="s">
        <v>71</v>
      </c>
      <c r="H82" s="133"/>
      <c r="I82" s="198"/>
      <c r="J82" s="199"/>
      <c r="O82" s="130"/>
      <c r="P82" s="130"/>
    </row>
    <row r="83" spans="2:16" ht="13.5" customHeight="1">
      <c r="B83" s="272" t="s">
        <v>233</v>
      </c>
      <c r="C83" s="273">
        <v>0</v>
      </c>
      <c r="D83" s="273">
        <v>0.03</v>
      </c>
      <c r="E83" s="274">
        <v>0.06</v>
      </c>
      <c r="O83" s="130"/>
      <c r="P83" s="130"/>
    </row>
    <row r="84" spans="2:16" ht="13.5" customHeight="1">
      <c r="B84" s="277" t="s">
        <v>202</v>
      </c>
      <c r="C84" s="128"/>
      <c r="D84" s="128"/>
      <c r="E84" s="129"/>
      <c r="O84" s="130"/>
      <c r="P84" s="130"/>
    </row>
    <row r="85" spans="2:11" ht="13.5" customHeight="1">
      <c r="B85" s="189" t="s">
        <v>203</v>
      </c>
      <c r="C85" s="181"/>
      <c r="D85" s="181"/>
      <c r="E85" s="190"/>
      <c r="G85" s="200"/>
      <c r="H85" s="201"/>
      <c r="I85" s="202" t="s">
        <v>113</v>
      </c>
      <c r="J85" s="203"/>
      <c r="K85" s="14"/>
    </row>
    <row r="86" spans="2:11" ht="13.5" customHeight="1">
      <c r="B86" s="189" t="s">
        <v>204</v>
      </c>
      <c r="C86" s="128"/>
      <c r="D86" s="128"/>
      <c r="E86" s="129"/>
      <c r="G86" s="212"/>
      <c r="H86" s="213"/>
      <c r="I86" s="214" t="s">
        <v>111</v>
      </c>
      <c r="J86" s="215"/>
      <c r="K86" s="14"/>
    </row>
    <row r="87" spans="2:10" ht="13.5" customHeight="1">
      <c r="B87" s="189" t="s">
        <v>104</v>
      </c>
      <c r="C87" s="42"/>
      <c r="D87" s="42"/>
      <c r="E87" s="221"/>
      <c r="F87" s="58"/>
      <c r="G87" s="216" t="s">
        <v>19</v>
      </c>
      <c r="H87" s="127"/>
      <c r="I87" s="132" t="s">
        <v>6</v>
      </c>
      <c r="J87" s="217" t="s">
        <v>9</v>
      </c>
    </row>
    <row r="88" spans="2:13" ht="13.5" customHeight="1">
      <c r="B88" s="272" t="s">
        <v>232</v>
      </c>
      <c r="C88" s="275">
        <v>-0.02</v>
      </c>
      <c r="D88" s="275">
        <v>-0.01</v>
      </c>
      <c r="E88" s="276">
        <v>0</v>
      </c>
      <c r="F88" s="58"/>
      <c r="G88" s="218" t="s">
        <v>231</v>
      </c>
      <c r="H88" s="126"/>
      <c r="I88" s="125"/>
      <c r="J88" s="219"/>
      <c r="M88" s="85"/>
    </row>
    <row r="89" spans="2:13" ht="13.5" customHeight="1">
      <c r="B89" s="277" t="s">
        <v>202</v>
      </c>
      <c r="C89" s="128"/>
      <c r="D89" s="128"/>
      <c r="E89" s="129"/>
      <c r="F89" s="58"/>
      <c r="G89" s="218" t="s">
        <v>230</v>
      </c>
      <c r="H89" s="135"/>
      <c r="I89" s="125"/>
      <c r="J89" s="219"/>
      <c r="M89" s="85"/>
    </row>
    <row r="90" spans="2:13" ht="13.5" customHeight="1">
      <c r="B90" s="189" t="s">
        <v>203</v>
      </c>
      <c r="C90" s="181"/>
      <c r="D90" s="181"/>
      <c r="E90" s="190"/>
      <c r="F90" s="58"/>
      <c r="G90" s="218" t="s">
        <v>229</v>
      </c>
      <c r="H90" s="126"/>
      <c r="I90" s="125"/>
      <c r="J90" s="219"/>
      <c r="M90" s="85"/>
    </row>
    <row r="91" spans="2:13" ht="13.5" customHeight="1">
      <c r="B91" s="189" t="s">
        <v>204</v>
      </c>
      <c r="C91" s="128"/>
      <c r="D91" s="128"/>
      <c r="E91" s="129"/>
      <c r="F91" s="42"/>
      <c r="G91" s="211"/>
      <c r="H91" s="193"/>
      <c r="I91" s="193"/>
      <c r="J91" s="194"/>
      <c r="M91" s="85"/>
    </row>
    <row r="92" spans="2:13" ht="13.5" customHeight="1">
      <c r="B92" s="189" t="s">
        <v>104</v>
      </c>
      <c r="C92" s="50"/>
      <c r="D92" s="42"/>
      <c r="E92" s="223"/>
      <c r="F92" s="42"/>
      <c r="M92" s="85"/>
    </row>
    <row r="93" spans="2:13" ht="13.5" customHeight="1">
      <c r="B93" s="272" t="s">
        <v>228</v>
      </c>
      <c r="C93" s="275">
        <v>0.06</v>
      </c>
      <c r="D93" s="275">
        <v>0.03</v>
      </c>
      <c r="E93" s="276">
        <v>0</v>
      </c>
      <c r="F93" s="42"/>
      <c r="M93" s="85"/>
    </row>
    <row r="94" spans="2:13" ht="13.5" customHeight="1">
      <c r="B94" s="277" t="s">
        <v>202</v>
      </c>
      <c r="C94" s="128"/>
      <c r="D94" s="128"/>
      <c r="E94" s="129"/>
      <c r="F94" s="42"/>
      <c r="M94" s="85"/>
    </row>
    <row r="95" spans="2:13" ht="13.5" customHeight="1">
      <c r="B95" s="189" t="s">
        <v>203</v>
      </c>
      <c r="C95" s="181"/>
      <c r="D95" s="181"/>
      <c r="E95" s="190"/>
      <c r="F95" s="42"/>
      <c r="M95" s="85"/>
    </row>
    <row r="96" spans="2:13" ht="13.5" customHeight="1">
      <c r="B96" s="189" t="s">
        <v>204</v>
      </c>
      <c r="C96" s="128"/>
      <c r="D96" s="128"/>
      <c r="E96" s="129"/>
      <c r="F96" s="42"/>
      <c r="M96" s="85"/>
    </row>
    <row r="97" spans="2:13" ht="13.5" customHeight="1">
      <c r="B97" s="222" t="s">
        <v>104</v>
      </c>
      <c r="C97" s="50"/>
      <c r="D97" s="50"/>
      <c r="E97" s="223"/>
      <c r="F97" s="42"/>
      <c r="M97" s="85"/>
    </row>
    <row r="98" spans="2:13" ht="13.5" customHeight="1">
      <c r="B98" s="42"/>
      <c r="C98" s="42"/>
      <c r="D98" s="42"/>
      <c r="E98" s="42"/>
      <c r="F98" s="42"/>
      <c r="G98" s="58"/>
      <c r="H98" s="128"/>
      <c r="I98" s="126"/>
      <c r="J98" s="125"/>
      <c r="K98" s="134"/>
      <c r="M98" s="85"/>
    </row>
    <row r="99" spans="2:8" ht="13.5" customHeight="1" thickBot="1">
      <c r="B99" s="87" t="s">
        <v>105</v>
      </c>
      <c r="C99" s="88"/>
      <c r="D99" s="89"/>
      <c r="E99" s="226"/>
      <c r="F99" s="226"/>
      <c r="G99" s="226"/>
      <c r="H99" s="77"/>
    </row>
    <row r="100" spans="1:3" ht="13.5" customHeight="1">
      <c r="A100" s="84" t="s">
        <v>29</v>
      </c>
      <c r="B100" s="3" t="s">
        <v>227</v>
      </c>
      <c r="C100" s="3"/>
    </row>
    <row r="101" spans="1:3" ht="13.5" customHeight="1">
      <c r="A101" s="84" t="s">
        <v>31</v>
      </c>
      <c r="B101" s="3" t="s">
        <v>226</v>
      </c>
      <c r="C101" s="3"/>
    </row>
    <row r="102" spans="1:3" ht="13.5" customHeight="1">
      <c r="A102" s="84" t="s">
        <v>33</v>
      </c>
      <c r="B102" s="14" t="s">
        <v>225</v>
      </c>
      <c r="C102" s="3"/>
    </row>
    <row r="103" spans="1:13" ht="13.5" customHeight="1">
      <c r="A103" s="84" t="s">
        <v>34</v>
      </c>
      <c r="B103" s="220" t="s">
        <v>224</v>
      </c>
      <c r="M103" s="14"/>
    </row>
    <row r="104" spans="1:13" ht="13.5" customHeight="1">
      <c r="A104" s="14"/>
      <c r="B104" s="3" t="s">
        <v>223</v>
      </c>
      <c r="C104" s="41"/>
      <c r="D104" s="14"/>
      <c r="E104" s="14"/>
      <c r="F104" s="14"/>
      <c r="G104" s="14"/>
      <c r="H104" s="14"/>
      <c r="I104" s="14"/>
      <c r="J104" s="136"/>
      <c r="K104" s="136"/>
      <c r="L104" s="14"/>
      <c r="M104" s="14"/>
    </row>
    <row r="105" spans="1:13" ht="13.5" customHeight="1">
      <c r="A105" s="84" t="s">
        <v>35</v>
      </c>
      <c r="B105" s="14" t="s">
        <v>222</v>
      </c>
      <c r="C105" s="41"/>
      <c r="D105" s="14"/>
      <c r="E105" s="14"/>
      <c r="F105" s="14"/>
      <c r="G105" s="14"/>
      <c r="H105" s="14"/>
      <c r="I105" s="14"/>
      <c r="J105" s="136"/>
      <c r="K105" s="136"/>
      <c r="L105" s="14"/>
      <c r="M105" s="14"/>
    </row>
    <row r="106" spans="1:13" ht="13.5" customHeight="1">
      <c r="A106" s="84" t="s">
        <v>38</v>
      </c>
      <c r="B106" s="14" t="s">
        <v>221</v>
      </c>
      <c r="C106" s="41"/>
      <c r="D106" s="14"/>
      <c r="E106" s="14"/>
      <c r="F106" s="14"/>
      <c r="G106" s="14"/>
      <c r="H106" s="14"/>
      <c r="I106" s="14"/>
      <c r="J106" s="136"/>
      <c r="K106" s="136"/>
      <c r="L106" s="14"/>
      <c r="M106" s="14"/>
    </row>
    <row r="107" spans="3:11" s="14" customFormat="1" ht="13.5" customHeight="1">
      <c r="C107" s="41"/>
      <c r="J107" s="136"/>
      <c r="K107" s="41" t="str">
        <f>K52</f>
        <v>© E.M. Abascal. Sept. 2011</v>
      </c>
    </row>
    <row r="108" s="14" customFormat="1" ht="13.5" customHeight="1">
      <c r="J108" s="136"/>
    </row>
    <row r="109" spans="1:15" s="14" customFormat="1" ht="13.5" customHeight="1">
      <c r="A109" s="84"/>
      <c r="C109" s="41"/>
      <c r="J109" s="136"/>
      <c r="K109" s="136"/>
      <c r="O109" s="137"/>
    </row>
    <row r="110" spans="1:11" s="14" customFormat="1" ht="13.5" customHeight="1">
      <c r="A110" s="84"/>
      <c r="C110" s="41"/>
      <c r="J110" s="136"/>
      <c r="K110" s="136"/>
    </row>
    <row r="111" s="14" customFormat="1" ht="13.5" customHeight="1">
      <c r="A111" s="138"/>
    </row>
    <row r="112" s="14" customFormat="1" ht="13.5" customHeight="1"/>
    <row r="113" s="14" customFormat="1" ht="13.5" customHeight="1"/>
    <row r="114" spans="3:11" s="14" customFormat="1" ht="13.5" customHeight="1">
      <c r="C114" s="41"/>
      <c r="J114" s="136"/>
      <c r="K114" s="136"/>
    </row>
    <row r="115" spans="1:7" s="14" customFormat="1" ht="13.5" customHeight="1">
      <c r="A115" s="136"/>
      <c r="B115" s="136"/>
      <c r="C115" s="228"/>
      <c r="D115" s="136"/>
      <c r="E115" s="136"/>
      <c r="F115" s="136"/>
      <c r="G115" s="3"/>
    </row>
    <row r="116" spans="2:7" s="14" customFormat="1" ht="13.5" customHeight="1">
      <c r="B116" s="3"/>
      <c r="C116" s="4"/>
      <c r="D116" s="3"/>
      <c r="E116" s="3"/>
      <c r="F116" s="3"/>
      <c r="G116" s="3"/>
    </row>
    <row r="117" spans="2:7" s="14" customFormat="1" ht="13.5" customHeight="1">
      <c r="B117" s="3"/>
      <c r="C117" s="4"/>
      <c r="D117" s="3"/>
      <c r="E117" s="3"/>
      <c r="F117" s="3"/>
      <c r="G117" s="3"/>
    </row>
    <row r="118" s="14" customFormat="1" ht="13.5" customHeight="1">
      <c r="G118" s="3"/>
    </row>
    <row r="119" s="140" customFormat="1" ht="13.5" customHeight="1">
      <c r="G119" s="139"/>
    </row>
    <row r="120" s="14" customFormat="1" ht="13.5" customHeight="1"/>
    <row r="121" s="14" customFormat="1" ht="13.5" customHeight="1"/>
    <row r="122" s="14" customFormat="1" ht="13.5" customHeight="1"/>
    <row r="123" s="14" customFormat="1" ht="13.5" customHeight="1">
      <c r="G123" s="3"/>
    </row>
    <row r="124" s="14" customFormat="1" ht="13.5" customHeight="1">
      <c r="C124" s="41"/>
    </row>
    <row r="125" s="14" customFormat="1" ht="13.5" customHeight="1">
      <c r="C125" s="41"/>
    </row>
    <row r="127" spans="12:14" ht="13.5" customHeight="1">
      <c r="L127" s="136"/>
      <c r="M127" s="136"/>
      <c r="N127" s="136"/>
    </row>
  </sheetData>
  <sheetProtection/>
  <printOptions headings="1"/>
  <pageMargins left="0.7480314960629921" right="0.2362204724409449" top="0.6299212598425197" bottom="0.6299212598425197" header="0.5118110236220472" footer="0.5118110236220472"/>
  <pageSetup horizontalDpi="1200" verticalDpi="1200" orientation="portrait" paperSize="9" scale="86" r:id="rId3"/>
  <rowBreaks count="1" manualBreakCount="1">
    <brk id="52" max="10" man="1"/>
  </rowBreaks>
  <legacyDrawing r:id="rId2"/>
</worksheet>
</file>

<file path=xl/worksheets/sheet4.xml><?xml version="1.0" encoding="utf-8"?>
<worksheet xmlns="http://schemas.openxmlformats.org/spreadsheetml/2006/main" xmlns:r="http://schemas.openxmlformats.org/officeDocument/2006/relationships">
  <dimension ref="A1:T126"/>
  <sheetViews>
    <sheetView showGridLines="0" view="pageBreakPreview" zoomScale="120" zoomScaleSheetLayoutView="120" zoomScalePageLayoutView="0" workbookViewId="0" topLeftCell="A1">
      <selection activeCell="O6" sqref="O6"/>
    </sheetView>
  </sheetViews>
  <sheetFormatPr defaultColWidth="9.125" defaultRowHeight="13.5" customHeight="1"/>
  <cols>
    <col min="1" max="1" width="4.00390625" style="3" customWidth="1"/>
    <col min="2" max="2" width="20.00390625" style="3" customWidth="1"/>
    <col min="3" max="3" width="5.125" style="4" customWidth="1"/>
    <col min="4" max="4" width="5.25390625" style="3" customWidth="1"/>
    <col min="5" max="9" width="7.875" style="3" customWidth="1"/>
    <col min="10" max="10" width="8.875" style="3" customWidth="1"/>
    <col min="11" max="11" width="7.875" style="3" customWidth="1"/>
    <col min="12" max="12" width="5.375" style="3" customWidth="1"/>
    <col min="13" max="13" width="4.75390625" style="3" customWidth="1"/>
    <col min="14" max="14" width="6.75390625" style="3" customWidth="1"/>
    <col min="15" max="15" width="6.875" style="3" customWidth="1"/>
    <col min="16" max="16" width="9.125" style="3" customWidth="1"/>
    <col min="17" max="18" width="5.25390625" style="3" customWidth="1"/>
    <col min="19" max="16384" width="9.125" style="3" customWidth="1"/>
  </cols>
  <sheetData>
    <row r="1" spans="6:10" ht="24" customHeight="1">
      <c r="F1" s="5" t="s">
        <v>209</v>
      </c>
      <c r="I1" s="6"/>
      <c r="J1" s="7"/>
    </row>
    <row r="2" spans="7:10" ht="18" customHeight="1">
      <c r="G2" s="5"/>
      <c r="I2" s="6"/>
      <c r="J2" s="7"/>
    </row>
    <row r="3" spans="2:11" ht="13.5" customHeight="1">
      <c r="B3" s="8"/>
      <c r="C3" s="9"/>
      <c r="D3" s="10"/>
      <c r="E3" s="142" t="s">
        <v>74</v>
      </c>
      <c r="F3" s="143"/>
      <c r="G3" s="10"/>
      <c r="H3" s="10"/>
      <c r="I3" s="11" t="s">
        <v>117</v>
      </c>
      <c r="J3" s="10"/>
      <c r="K3" s="10"/>
    </row>
    <row r="4" spans="2:14" ht="13.5" customHeight="1" thickBot="1">
      <c r="B4" s="89" t="s">
        <v>118</v>
      </c>
      <c r="C4" s="3"/>
      <c r="D4" s="12" t="s">
        <v>133</v>
      </c>
      <c r="E4" s="71">
        <v>2006</v>
      </c>
      <c r="F4" s="13"/>
      <c r="G4" s="71">
        <f>E4+1</f>
        <v>2007</v>
      </c>
      <c r="H4" s="71">
        <f>G4+1</f>
        <v>2008</v>
      </c>
      <c r="I4" s="71">
        <f>H4+1</f>
        <v>2009</v>
      </c>
      <c r="J4" s="71">
        <f>I4+1</f>
        <v>2010</v>
      </c>
      <c r="K4" s="13"/>
      <c r="L4" s="13"/>
      <c r="N4" s="14"/>
    </row>
    <row r="5" spans="2:16" ht="13.5" customHeight="1">
      <c r="B5" s="15" t="s">
        <v>4</v>
      </c>
      <c r="C5" s="158">
        <v>200</v>
      </c>
      <c r="D5" s="17" t="s">
        <v>29</v>
      </c>
      <c r="E5" s="148">
        <v>200</v>
      </c>
      <c r="F5" s="19"/>
      <c r="G5" s="18">
        <f>C5</f>
        <v>200</v>
      </c>
      <c r="H5" s="18">
        <f>G5*(1+H19)</f>
        <v>220.00000000000003</v>
      </c>
      <c r="I5" s="18">
        <f>H5*(1+I19)</f>
        <v>242.00000000000006</v>
      </c>
      <c r="J5" s="18">
        <f>I5*(1+J19)</f>
        <v>266.2000000000001</v>
      </c>
      <c r="K5" s="38"/>
      <c r="L5" s="19"/>
      <c r="M5" s="20"/>
      <c r="N5" s="14"/>
      <c r="O5" s="21"/>
      <c r="P5" s="22"/>
    </row>
    <row r="6" spans="2:16" ht="13.5" customHeight="1">
      <c r="B6" s="23" t="s">
        <v>119</v>
      </c>
      <c r="C6" s="24"/>
      <c r="D6" s="17"/>
      <c r="E6" s="49">
        <v>162</v>
      </c>
      <c r="F6" s="19"/>
      <c r="G6" s="25">
        <f>(G5-G7)</f>
        <v>160</v>
      </c>
      <c r="H6" s="25">
        <f>(H5-H7)</f>
        <v>178.20000000000002</v>
      </c>
      <c r="I6" s="25">
        <f>(I5-I7)</f>
        <v>198.44000000000005</v>
      </c>
      <c r="J6" s="25">
        <f>(J5-J7)</f>
        <v>220.94600000000008</v>
      </c>
      <c r="K6" s="34"/>
      <c r="L6" s="26"/>
      <c r="M6" s="14"/>
      <c r="N6" s="14"/>
      <c r="O6" s="27"/>
      <c r="P6" s="22"/>
    </row>
    <row r="7" spans="2:16" ht="13.5" customHeight="1">
      <c r="B7" s="15" t="s">
        <v>121</v>
      </c>
      <c r="C7" s="16"/>
      <c r="D7" s="17" t="s">
        <v>31</v>
      </c>
      <c r="E7" s="38">
        <f>E5-E6</f>
        <v>38</v>
      </c>
      <c r="F7" s="19"/>
      <c r="G7" s="18">
        <f>G5*G20</f>
        <v>40</v>
      </c>
      <c r="H7" s="18">
        <f>H5*H20</f>
        <v>41.800000000000004</v>
      </c>
      <c r="I7" s="18">
        <f>I5*I20</f>
        <v>43.56000000000001</v>
      </c>
      <c r="J7" s="18">
        <f>J5*J20</f>
        <v>45.25400000000001</v>
      </c>
      <c r="K7" s="38"/>
      <c r="L7" s="19"/>
      <c r="M7" s="28"/>
      <c r="N7" s="29"/>
      <c r="O7" s="21"/>
      <c r="P7" s="22"/>
    </row>
    <row r="8" spans="2:16" ht="13.5" customHeight="1">
      <c r="B8" s="23" t="s">
        <v>5</v>
      </c>
      <c r="C8" s="155">
        <v>0.05</v>
      </c>
      <c r="D8" s="17"/>
      <c r="E8" s="38">
        <f>C$8*E5</f>
        <v>10</v>
      </c>
      <c r="F8" s="19"/>
      <c r="G8" s="18">
        <f>$C8*G5</f>
        <v>10</v>
      </c>
      <c r="H8" s="18">
        <f>$C8*H5</f>
        <v>11.000000000000002</v>
      </c>
      <c r="I8" s="18">
        <f>$C8*I5</f>
        <v>12.100000000000003</v>
      </c>
      <c r="J8" s="18">
        <f>$C8*J5</f>
        <v>13.310000000000006</v>
      </c>
      <c r="K8" s="38"/>
      <c r="L8" s="19"/>
      <c r="M8" s="28"/>
      <c r="N8" s="29"/>
      <c r="O8" s="21"/>
      <c r="P8" s="22"/>
    </row>
    <row r="9" spans="2:16" ht="13.5" customHeight="1">
      <c r="B9" s="23" t="s">
        <v>126</v>
      </c>
      <c r="C9" s="173">
        <v>4</v>
      </c>
      <c r="D9" s="17" t="s">
        <v>33</v>
      </c>
      <c r="E9" s="49">
        <v>8</v>
      </c>
      <c r="F9" s="19"/>
      <c r="G9" s="30">
        <f>C9</f>
        <v>4</v>
      </c>
      <c r="H9" s="30">
        <f>G9*(1+H21)</f>
        <v>4.12</v>
      </c>
      <c r="I9" s="30">
        <f>H9*(1+I21)</f>
        <v>4.2436</v>
      </c>
      <c r="J9" s="30">
        <f>I9*(1+J21)</f>
        <v>4.370908</v>
      </c>
      <c r="K9" s="26"/>
      <c r="L9" s="26"/>
      <c r="M9" s="28"/>
      <c r="N9" s="14"/>
      <c r="O9" s="14"/>
      <c r="P9" s="32"/>
    </row>
    <row r="10" spans="2:16" ht="13.5" customHeight="1">
      <c r="B10" s="15" t="s">
        <v>7</v>
      </c>
      <c r="C10" s="33"/>
      <c r="D10" s="17"/>
      <c r="E10" s="38">
        <f>E7-E8-E9</f>
        <v>20</v>
      </c>
      <c r="F10" s="19"/>
      <c r="G10" s="34">
        <f>G7-G8-G9</f>
        <v>26</v>
      </c>
      <c r="H10" s="34">
        <f>H7-H8-H9</f>
        <v>26.680000000000003</v>
      </c>
      <c r="I10" s="34">
        <f>I7-I8-I9</f>
        <v>27.216400000000007</v>
      </c>
      <c r="J10" s="34">
        <f>J7-J8-J9</f>
        <v>27.573092000000006</v>
      </c>
      <c r="K10" s="34"/>
      <c r="L10" s="26"/>
      <c r="M10" s="32"/>
      <c r="N10" s="14"/>
      <c r="O10" s="27"/>
      <c r="P10" s="22"/>
    </row>
    <row r="11" spans="2:16" ht="13.5" customHeight="1">
      <c r="B11" s="23" t="s">
        <v>14</v>
      </c>
      <c r="C11" s="152">
        <v>2</v>
      </c>
      <c r="D11" s="17" t="s">
        <v>33</v>
      </c>
      <c r="E11" s="49">
        <v>5</v>
      </c>
      <c r="F11" s="19"/>
      <c r="G11" s="25">
        <f>C11</f>
        <v>2</v>
      </c>
      <c r="H11" s="25">
        <f>$C11</f>
        <v>2</v>
      </c>
      <c r="I11" s="25">
        <f>$C11</f>
        <v>2</v>
      </c>
      <c r="J11" s="25">
        <f>$C11</f>
        <v>2</v>
      </c>
      <c r="K11" s="34"/>
      <c r="L11" s="26"/>
      <c r="M11" s="32"/>
      <c r="N11" s="14"/>
      <c r="O11" s="21"/>
      <c r="P11" s="36"/>
    </row>
    <row r="12" spans="2:16" ht="13.5" customHeight="1">
      <c r="B12" s="15" t="s">
        <v>36</v>
      </c>
      <c r="C12" s="16"/>
      <c r="D12" s="37"/>
      <c r="E12" s="38">
        <f>E10-E11</f>
        <v>15</v>
      </c>
      <c r="F12" s="19"/>
      <c r="G12" s="38">
        <f>G10-G11</f>
        <v>24</v>
      </c>
      <c r="H12" s="38">
        <f>H10-H11</f>
        <v>24.680000000000003</v>
      </c>
      <c r="I12" s="38">
        <f>I10-I11</f>
        <v>25.216400000000007</v>
      </c>
      <c r="J12" s="38">
        <f>J10-J11</f>
        <v>25.573092000000006</v>
      </c>
      <c r="K12" s="38"/>
      <c r="L12" s="19"/>
      <c r="M12" s="32"/>
      <c r="N12" s="14"/>
      <c r="O12" s="27"/>
      <c r="P12" s="22"/>
    </row>
    <row r="13" spans="2:16" s="4" customFormat="1" ht="13.5" customHeight="1">
      <c r="B13" s="39" t="s">
        <v>16</v>
      </c>
      <c r="C13" s="153">
        <v>0.1</v>
      </c>
      <c r="D13" s="17" t="s">
        <v>34</v>
      </c>
      <c r="E13" s="49">
        <v>2.5</v>
      </c>
      <c r="F13" s="19"/>
      <c r="G13" s="30">
        <f>$C13*E33</f>
        <v>2.5</v>
      </c>
      <c r="H13" s="30">
        <f>$C13*G33</f>
        <v>3.4950000000000006</v>
      </c>
      <c r="I13" s="30">
        <f>$C13*H33</f>
        <v>2.4120499999999994</v>
      </c>
      <c r="J13" s="30">
        <f>$C13*I33</f>
        <v>1.255745499999999</v>
      </c>
      <c r="K13" s="26"/>
      <c r="L13" s="26"/>
      <c r="M13" s="40"/>
      <c r="N13" s="41"/>
      <c r="O13" s="21"/>
      <c r="P13" s="22"/>
    </row>
    <row r="14" spans="2:16" ht="13.5" customHeight="1">
      <c r="B14" s="15" t="s">
        <v>17</v>
      </c>
      <c r="C14" s="16"/>
      <c r="D14" s="42"/>
      <c r="E14" s="38">
        <f>E12-E13</f>
        <v>12.5</v>
      </c>
      <c r="F14" s="19"/>
      <c r="G14" s="38">
        <f>G12-G13</f>
        <v>21.5</v>
      </c>
      <c r="H14" s="38">
        <f>H12-H13</f>
        <v>21.185000000000002</v>
      </c>
      <c r="I14" s="38">
        <f>I12-I13</f>
        <v>22.804350000000007</v>
      </c>
      <c r="J14" s="38">
        <f>J12-J13</f>
        <v>24.317346500000006</v>
      </c>
      <c r="K14" s="38"/>
      <c r="L14" s="19"/>
      <c r="M14" s="38"/>
      <c r="N14" s="14"/>
      <c r="O14" s="27"/>
      <c r="P14" s="22"/>
    </row>
    <row r="15" spans="2:16" ht="13.5" customHeight="1">
      <c r="B15" s="23" t="s">
        <v>3</v>
      </c>
      <c r="C15" s="154">
        <v>0.3</v>
      </c>
      <c r="D15" s="17" t="s">
        <v>34</v>
      </c>
      <c r="E15" s="49">
        <f>C15*E14</f>
        <v>3.75</v>
      </c>
      <c r="F15" s="19"/>
      <c r="G15" s="25">
        <f>$C$15*G14</f>
        <v>6.45</v>
      </c>
      <c r="H15" s="25">
        <f>$C$15*H14</f>
        <v>6.3555</v>
      </c>
      <c r="I15" s="25">
        <f>$C$15*I14</f>
        <v>6.841305000000002</v>
      </c>
      <c r="J15" s="25">
        <f>$C$15*J14</f>
        <v>7.295203950000001</v>
      </c>
      <c r="K15" s="34"/>
      <c r="L15" s="26"/>
      <c r="M15" s="34"/>
      <c r="N15" s="14"/>
      <c r="O15" s="149"/>
      <c r="P15" s="22"/>
    </row>
    <row r="16" spans="2:16" ht="13.5" customHeight="1">
      <c r="B16" s="15" t="s">
        <v>122</v>
      </c>
      <c r="C16" s="18"/>
      <c r="D16" s="37"/>
      <c r="E16" s="38">
        <f>E14-E15</f>
        <v>8.75</v>
      </c>
      <c r="F16" s="19"/>
      <c r="G16" s="44">
        <f>G14-G15</f>
        <v>15.05</v>
      </c>
      <c r="H16" s="44">
        <f>H14-H15</f>
        <v>14.829500000000003</v>
      </c>
      <c r="I16" s="44">
        <f>I14-I15</f>
        <v>15.963045000000005</v>
      </c>
      <c r="J16" s="44">
        <f>J14-J15</f>
        <v>17.022142550000005</v>
      </c>
      <c r="K16" s="34"/>
      <c r="L16" s="26"/>
      <c r="M16" s="34"/>
      <c r="N16" s="14"/>
      <c r="O16" s="21"/>
      <c r="P16" s="45"/>
    </row>
    <row r="17" spans="2:16" ht="15.75" customHeight="1">
      <c r="B17" s="15"/>
      <c r="C17" s="18"/>
      <c r="D17" s="37"/>
      <c r="E17" s="38"/>
      <c r="F17" s="38"/>
      <c r="G17" s="46"/>
      <c r="H17" s="46"/>
      <c r="I17" s="46"/>
      <c r="J17" s="46"/>
      <c r="K17" s="159"/>
      <c r="L17" s="34"/>
      <c r="M17" s="14"/>
      <c r="N17" s="14"/>
      <c r="P17" s="22"/>
    </row>
    <row r="18" spans="2:16" ht="13.5" customHeight="1" thickBot="1">
      <c r="B18" s="183" t="s">
        <v>123</v>
      </c>
      <c r="C18" s="184"/>
      <c r="D18" s="47"/>
      <c r="E18" s="48"/>
      <c r="F18" s="161"/>
      <c r="G18" s="49"/>
      <c r="H18" s="50"/>
      <c r="I18" s="51" t="s">
        <v>124</v>
      </c>
      <c r="J18" s="49"/>
      <c r="K18" s="177" t="s">
        <v>174</v>
      </c>
      <c r="M18" s="14"/>
      <c r="N18" s="14"/>
      <c r="O18" s="43"/>
      <c r="P18" s="22"/>
    </row>
    <row r="19" spans="2:18" ht="13.5" customHeight="1">
      <c r="B19" s="52" t="s">
        <v>175</v>
      </c>
      <c r="C19" s="153">
        <v>0.1</v>
      </c>
      <c r="D19" s="17" t="s">
        <v>29</v>
      </c>
      <c r="E19" s="160">
        <v>0.16412852208294407</v>
      </c>
      <c r="F19" s="63"/>
      <c r="G19" s="62" t="s">
        <v>176</v>
      </c>
      <c r="H19" s="61">
        <f>C19</f>
        <v>0.1</v>
      </c>
      <c r="I19" s="61">
        <f>H19</f>
        <v>0.1</v>
      </c>
      <c r="J19" s="61">
        <f>I19</f>
        <v>0.1</v>
      </c>
      <c r="K19" s="53">
        <f>AVERAGE(G19:K19)</f>
        <v>0.10000000000000002</v>
      </c>
      <c r="M19" s="14"/>
      <c r="N19" s="54" t="s">
        <v>77</v>
      </c>
      <c r="O19" s="4" t="s">
        <v>78</v>
      </c>
      <c r="P19" s="4" t="s">
        <v>79</v>
      </c>
      <c r="Q19" s="94" t="s">
        <v>80</v>
      </c>
      <c r="R19" s="4" t="s">
        <v>81</v>
      </c>
    </row>
    <row r="20" spans="2:20" ht="13.5" customHeight="1">
      <c r="B20" s="52" t="s">
        <v>125</v>
      </c>
      <c r="C20" s="154">
        <v>-0.01</v>
      </c>
      <c r="D20" s="17" t="s">
        <v>31</v>
      </c>
      <c r="E20" s="144">
        <f>E7/E5</f>
        <v>0.19</v>
      </c>
      <c r="F20" s="144"/>
      <c r="G20" s="151">
        <v>0.2</v>
      </c>
      <c r="H20" s="55">
        <f>G20+$C20</f>
        <v>0.19</v>
      </c>
      <c r="I20" s="55">
        <f>H20+$C20</f>
        <v>0.18</v>
      </c>
      <c r="J20" s="55">
        <f>I20+$C20</f>
        <v>0.16999999999999998</v>
      </c>
      <c r="K20" s="53">
        <f>AVERAGE(G20:K20)</f>
        <v>0.185</v>
      </c>
      <c r="M20" s="14"/>
      <c r="N20" s="29">
        <f>O20+P20*(Q20-R20)</f>
        <v>0.2314814814814815</v>
      </c>
      <c r="O20" s="56">
        <f>E25</f>
        <v>0.189873417721519</v>
      </c>
      <c r="P20" s="56">
        <f>E33/E34</f>
        <v>0.46296296296296297</v>
      </c>
      <c r="Q20" s="56">
        <f>O20</f>
        <v>0.189873417721519</v>
      </c>
      <c r="R20" s="56">
        <f>C13</f>
        <v>0.1</v>
      </c>
      <c r="S20" s="156" t="s">
        <v>82</v>
      </c>
      <c r="T20" s="56"/>
    </row>
    <row r="21" spans="2:19" ht="13.5" customHeight="1">
      <c r="B21" s="52" t="s">
        <v>127</v>
      </c>
      <c r="C21" s="154">
        <v>0.03</v>
      </c>
      <c r="D21" s="17" t="s">
        <v>33</v>
      </c>
      <c r="E21" s="145">
        <v>0.05</v>
      </c>
      <c r="F21" s="145"/>
      <c r="G21" s="61">
        <f>C21</f>
        <v>0.03</v>
      </c>
      <c r="H21" s="61">
        <f>G21</f>
        <v>0.03</v>
      </c>
      <c r="I21" s="61">
        <f>H21</f>
        <v>0.03</v>
      </c>
      <c r="J21" s="61">
        <f>I21</f>
        <v>0.03</v>
      </c>
      <c r="K21" s="62"/>
      <c r="M21" s="14"/>
      <c r="N21" s="29">
        <f>O21+P21*(Q21-R21)</f>
        <v>0.16203703703703703</v>
      </c>
      <c r="O21" s="157">
        <f>O20*0.7</f>
        <v>0.13291139240506328</v>
      </c>
      <c r="P21" s="7">
        <f>P20</f>
        <v>0.46296296296296297</v>
      </c>
      <c r="Q21" s="56">
        <f>O21</f>
        <v>0.13291139240506328</v>
      </c>
      <c r="R21" s="157">
        <f>R20*0.7</f>
        <v>0.06999999999999999</v>
      </c>
      <c r="S21" s="156" t="s">
        <v>83</v>
      </c>
    </row>
    <row r="22" spans="2:14" ht="13.5" customHeight="1">
      <c r="B22" s="52" t="s">
        <v>128</v>
      </c>
      <c r="C22" s="57"/>
      <c r="D22" s="63"/>
      <c r="E22" s="145">
        <f>E10/E5</f>
        <v>0.1</v>
      </c>
      <c r="F22" s="145"/>
      <c r="G22" s="59">
        <f>G10/G5</f>
        <v>0.13</v>
      </c>
      <c r="H22" s="59">
        <f>H10/H5</f>
        <v>0.12127272727272727</v>
      </c>
      <c r="I22" s="59">
        <f>I10/I5</f>
        <v>0.11246446280991736</v>
      </c>
      <c r="J22" s="59">
        <f>J10/J5</f>
        <v>0.10358036063110442</v>
      </c>
      <c r="K22" s="60"/>
      <c r="M22" s="14"/>
      <c r="N22" s="14"/>
    </row>
    <row r="23" spans="2:14" ht="13.5" customHeight="1">
      <c r="B23" s="52" t="s">
        <v>129</v>
      </c>
      <c r="C23" s="57"/>
      <c r="D23" s="57"/>
      <c r="E23" s="63">
        <f>E16/E5</f>
        <v>0.04375</v>
      </c>
      <c r="F23" s="63"/>
      <c r="G23" s="64">
        <f>G16/G5</f>
        <v>0.07525</v>
      </c>
      <c r="H23" s="64">
        <f>H16/H5</f>
        <v>0.06740681818181819</v>
      </c>
      <c r="I23" s="64">
        <f>I16/I5</f>
        <v>0.0659629958677686</v>
      </c>
      <c r="J23" s="64">
        <f>J16/J5</f>
        <v>0.06394493820435762</v>
      </c>
      <c r="K23" s="53">
        <f>AVERAGE(G23:K23)</f>
        <v>0.0681411880634861</v>
      </c>
      <c r="M23" s="14"/>
      <c r="N23" s="14"/>
    </row>
    <row r="24" spans="2:16" ht="13.5" customHeight="1">
      <c r="B24" s="52" t="s">
        <v>130</v>
      </c>
      <c r="C24" s="18"/>
      <c r="D24" s="33"/>
      <c r="E24" s="63">
        <f>E16/(E34-E16)</f>
        <v>0.19337016574585636</v>
      </c>
      <c r="F24" s="63"/>
      <c r="G24" s="64">
        <f>G16/G34</f>
        <v>0.6007984031936128</v>
      </c>
      <c r="H24" s="64">
        <f>H16/H34</f>
        <v>0.37185772138567436</v>
      </c>
      <c r="I24" s="64">
        <f>I16/I34</f>
        <v>0.28585812125862103</v>
      </c>
      <c r="J24" s="64">
        <f>J16/J34</f>
        <v>0.23361305897756507</v>
      </c>
      <c r="K24" s="53">
        <f>AVERAGE(G24:K24)</f>
        <v>0.3730318262038683</v>
      </c>
      <c r="M24" s="14"/>
      <c r="N24" s="14"/>
      <c r="P24" s="7"/>
    </row>
    <row r="25" spans="2:16" ht="13.5" customHeight="1">
      <c r="B25" s="52" t="s">
        <v>131</v>
      </c>
      <c r="C25" s="18"/>
      <c r="D25" s="33"/>
      <c r="E25" s="63">
        <f>E12/E31</f>
        <v>0.189873417721519</v>
      </c>
      <c r="F25" s="63"/>
      <c r="G25" s="63">
        <f>G12/G31</f>
        <v>0.4</v>
      </c>
      <c r="H25" s="63">
        <f>H12/H31</f>
        <v>0.38562500000000005</v>
      </c>
      <c r="I25" s="63">
        <f>I12/I31</f>
        <v>0.36866081871345036</v>
      </c>
      <c r="J25" s="63" t="s">
        <v>176</v>
      </c>
      <c r="K25" s="53">
        <f>AVERAGE(G25:K25)</f>
        <v>0.3847619395711501</v>
      </c>
      <c r="M25" s="14"/>
      <c r="N25" s="14"/>
      <c r="P25" s="7"/>
    </row>
    <row r="26" spans="2:16" ht="13.5" customHeight="1">
      <c r="B26" s="52"/>
      <c r="C26" s="18"/>
      <c r="D26" s="33"/>
      <c r="E26" s="63"/>
      <c r="F26" s="63"/>
      <c r="G26" s="63"/>
      <c r="H26" s="63"/>
      <c r="I26" s="63"/>
      <c r="J26" s="63"/>
      <c r="K26" s="63"/>
      <c r="L26" s="60"/>
      <c r="M26" s="14"/>
      <c r="N26" s="14"/>
      <c r="P26" s="7"/>
    </row>
    <row r="27" spans="2:15" ht="13.5" customHeight="1">
      <c r="B27" s="52"/>
      <c r="C27" s="65"/>
      <c r="D27" s="66"/>
      <c r="E27" s="142" t="s">
        <v>74</v>
      </c>
      <c r="F27" s="146"/>
      <c r="G27" s="66"/>
      <c r="H27" s="67" t="str">
        <f>I3</f>
        <v>Laptops Forecast</v>
      </c>
      <c r="J27" s="66"/>
      <c r="K27" s="66"/>
      <c r="L27" s="68"/>
      <c r="M27" s="14"/>
      <c r="N27" s="14"/>
      <c r="O27" s="69"/>
    </row>
    <row r="28" spans="2:18" ht="13.5" customHeight="1" thickBot="1">
      <c r="B28" s="182" t="s">
        <v>132</v>
      </c>
      <c r="C28" s="70"/>
      <c r="D28" s="12" t="s">
        <v>133</v>
      </c>
      <c r="E28" s="164">
        <f>E4</f>
        <v>2006</v>
      </c>
      <c r="F28" s="71">
        <f>E28</f>
        <v>2006</v>
      </c>
      <c r="G28" s="71">
        <f>G4</f>
        <v>2007</v>
      </c>
      <c r="H28" s="71">
        <f>H4</f>
        <v>2008</v>
      </c>
      <c r="I28" s="71">
        <f>I4</f>
        <v>2009</v>
      </c>
      <c r="J28" s="71">
        <f>J4</f>
        <v>2010</v>
      </c>
      <c r="K28" s="72"/>
      <c r="L28" s="72"/>
      <c r="M28" s="28"/>
      <c r="N28" s="14"/>
      <c r="O28" s="73"/>
      <c r="P28" s="74"/>
      <c r="Q28" s="13"/>
      <c r="R28" s="75"/>
    </row>
    <row r="29" spans="2:18" ht="13.5" customHeight="1">
      <c r="B29" s="23" t="s">
        <v>18</v>
      </c>
      <c r="C29" s="150">
        <v>0.2</v>
      </c>
      <c r="D29" s="17" t="s">
        <v>35</v>
      </c>
      <c r="E29" s="165">
        <v>29</v>
      </c>
      <c r="F29" s="38">
        <v>0</v>
      </c>
      <c r="G29" s="38">
        <f>$C29*G5</f>
        <v>40</v>
      </c>
      <c r="H29" s="38">
        <f>$C29*H5</f>
        <v>44.00000000000001</v>
      </c>
      <c r="I29" s="38">
        <f>$C29*I5</f>
        <v>48.40000000000001</v>
      </c>
      <c r="J29" s="38">
        <v>0</v>
      </c>
      <c r="K29" s="19"/>
      <c r="L29" s="19"/>
      <c r="M29" s="28"/>
      <c r="O29" s="27"/>
      <c r="P29" s="76"/>
      <c r="Q29" s="77"/>
      <c r="R29" s="22"/>
    </row>
    <row r="30" spans="2:18" ht="13.5" customHeight="1">
      <c r="B30" s="23" t="s">
        <v>134</v>
      </c>
      <c r="C30" s="158">
        <v>2</v>
      </c>
      <c r="D30" s="17" t="s">
        <v>35</v>
      </c>
      <c r="E30" s="166">
        <v>50</v>
      </c>
      <c r="F30" s="163">
        <v>20</v>
      </c>
      <c r="G30" s="79">
        <f>F30-G11+$C30</f>
        <v>20</v>
      </c>
      <c r="H30" s="79">
        <f>G30-H11+$C30</f>
        <v>20</v>
      </c>
      <c r="I30" s="79">
        <f>H30-I11+$C30</f>
        <v>20</v>
      </c>
      <c r="J30" s="79">
        <v>0</v>
      </c>
      <c r="K30" s="19"/>
      <c r="L30" s="19"/>
      <c r="M30" s="28"/>
      <c r="O30" s="27"/>
      <c r="Q30" s="77"/>
      <c r="R30" s="22"/>
    </row>
    <row r="31" spans="2:18" ht="13.5" customHeight="1">
      <c r="B31" s="15" t="s">
        <v>135</v>
      </c>
      <c r="C31" s="18"/>
      <c r="D31" s="58"/>
      <c r="E31" s="167">
        <f aca="true" t="shared" si="0" ref="E31:J31">E29+E30</f>
        <v>79</v>
      </c>
      <c r="F31" s="38">
        <f t="shared" si="0"/>
        <v>20</v>
      </c>
      <c r="G31" s="38">
        <f t="shared" si="0"/>
        <v>60</v>
      </c>
      <c r="H31" s="38">
        <f t="shared" si="0"/>
        <v>64</v>
      </c>
      <c r="I31" s="38">
        <f t="shared" si="0"/>
        <v>68.4</v>
      </c>
      <c r="J31" s="38">
        <f t="shared" si="0"/>
        <v>0</v>
      </c>
      <c r="K31" s="19"/>
      <c r="L31" s="19"/>
      <c r="P31" s="22"/>
      <c r="Q31" s="77"/>
      <c r="R31" s="22"/>
    </row>
    <row r="32" spans="2:18" ht="6.75" customHeight="1">
      <c r="B32" s="23"/>
      <c r="C32" s="18"/>
      <c r="D32" s="18"/>
      <c r="E32" s="167"/>
      <c r="F32" s="38"/>
      <c r="G32" s="18"/>
      <c r="H32" s="18"/>
      <c r="I32" s="18"/>
      <c r="J32" s="18"/>
      <c r="K32" s="19"/>
      <c r="L32" s="19"/>
      <c r="O32" s="27"/>
      <c r="P32" s="80"/>
      <c r="Q32" s="77"/>
      <c r="R32" s="22"/>
    </row>
    <row r="33" spans="2:18" ht="13.5" customHeight="1">
      <c r="B33" s="23" t="s">
        <v>137</v>
      </c>
      <c r="C33" s="81"/>
      <c r="D33" s="17" t="s">
        <v>38</v>
      </c>
      <c r="E33" s="168">
        <v>25</v>
      </c>
      <c r="F33" s="225">
        <v>10</v>
      </c>
      <c r="G33" s="19">
        <f>IF(G34&gt;G31,0,G31-G34)</f>
        <v>34.95</v>
      </c>
      <c r="H33" s="38">
        <f>IF(H34&gt;H31,0,H31-H34)</f>
        <v>24.120499999999993</v>
      </c>
      <c r="I33" s="38">
        <f>IF(I34&gt;I31,0,I31-I34)</f>
        <v>12.55745499999999</v>
      </c>
      <c r="J33" s="38">
        <f>IF(J34&gt;J31,0,J31-J34)</f>
        <v>0</v>
      </c>
      <c r="K33" s="19"/>
      <c r="L33" s="19"/>
      <c r="N33" s="35"/>
      <c r="O33" s="27"/>
      <c r="P33" s="80"/>
      <c r="Q33" s="77"/>
      <c r="R33" s="22"/>
    </row>
    <row r="34" spans="2:18" ht="13.5" customHeight="1">
      <c r="B34" s="23" t="s">
        <v>136</v>
      </c>
      <c r="C34" s="82"/>
      <c r="D34" s="17" t="s">
        <v>48</v>
      </c>
      <c r="E34" s="169">
        <v>54</v>
      </c>
      <c r="F34" s="224">
        <v>10</v>
      </c>
      <c r="G34" s="79">
        <f>F34+G16</f>
        <v>25.05</v>
      </c>
      <c r="H34" s="49">
        <f>G34+H16</f>
        <v>39.87950000000001</v>
      </c>
      <c r="I34" s="49">
        <f>H34+I16</f>
        <v>55.842545000000015</v>
      </c>
      <c r="J34" s="49">
        <f>I34+J16</f>
        <v>72.86468755000001</v>
      </c>
      <c r="K34" s="19"/>
      <c r="L34" s="19"/>
      <c r="N34" s="35"/>
      <c r="O34" s="21"/>
      <c r="P34" s="22"/>
      <c r="Q34" s="77"/>
      <c r="R34" s="22"/>
    </row>
    <row r="35" spans="2:18" ht="12" customHeight="1">
      <c r="B35" s="15" t="s">
        <v>138</v>
      </c>
      <c r="C35" s="18"/>
      <c r="D35" s="18"/>
      <c r="E35" s="167">
        <f>E33+E34</f>
        <v>79</v>
      </c>
      <c r="F35" s="18">
        <f>F34+F33</f>
        <v>20</v>
      </c>
      <c r="G35" s="18">
        <f>G34+G33</f>
        <v>60</v>
      </c>
      <c r="H35" s="18">
        <f>H34+H33</f>
        <v>64</v>
      </c>
      <c r="I35" s="18">
        <f>I34+I33</f>
        <v>68.4</v>
      </c>
      <c r="J35" s="18">
        <f>J34+J33</f>
        <v>72.86468755000001</v>
      </c>
      <c r="K35" s="19"/>
      <c r="L35" s="19"/>
      <c r="N35" s="35"/>
      <c r="O35" s="27"/>
      <c r="P35" s="22"/>
      <c r="Q35" s="77"/>
      <c r="R35" s="22"/>
    </row>
    <row r="36" spans="2:18" ht="19.5" customHeight="1">
      <c r="B36" s="23" t="s">
        <v>139</v>
      </c>
      <c r="C36" s="58"/>
      <c r="D36" s="17" t="s">
        <v>68</v>
      </c>
      <c r="E36" s="167">
        <f aca="true" t="shared" si="1" ref="E36:J36">E35-E31</f>
        <v>0</v>
      </c>
      <c r="F36" s="38">
        <f t="shared" si="1"/>
        <v>0</v>
      </c>
      <c r="G36" s="38">
        <f t="shared" si="1"/>
        <v>0</v>
      </c>
      <c r="H36" s="38">
        <f t="shared" si="1"/>
        <v>0</v>
      </c>
      <c r="I36" s="38">
        <f t="shared" si="1"/>
        <v>0</v>
      </c>
      <c r="J36" s="38">
        <f t="shared" si="1"/>
        <v>72.86468755000001</v>
      </c>
      <c r="K36" s="19"/>
      <c r="L36" s="19"/>
      <c r="N36" s="35"/>
      <c r="O36" s="27"/>
      <c r="P36" s="22"/>
      <c r="Q36" s="22"/>
      <c r="R36" s="14"/>
    </row>
    <row r="37" spans="2:16" ht="12.75" customHeight="1">
      <c r="B37" s="23" t="s">
        <v>177</v>
      </c>
      <c r="C37" s="58"/>
      <c r="D37" s="17" t="s">
        <v>68</v>
      </c>
      <c r="E37" s="167"/>
      <c r="F37" s="38"/>
      <c r="G37" s="38">
        <f>G36-E36</f>
        <v>0</v>
      </c>
      <c r="H37" s="38">
        <f>H36-G36</f>
        <v>0</v>
      </c>
      <c r="I37" s="38">
        <f>I36-H36</f>
        <v>0</v>
      </c>
      <c r="J37" s="38">
        <f>J36-I36</f>
        <v>72.86468755000001</v>
      </c>
      <c r="K37" s="19"/>
      <c r="L37" s="19"/>
      <c r="N37" s="35"/>
      <c r="P37" s="22"/>
    </row>
    <row r="38" spans="2:16" ht="12.75" customHeight="1">
      <c r="B38" s="83"/>
      <c r="C38" s="3"/>
      <c r="D38" s="84"/>
      <c r="E38" s="22"/>
      <c r="F38" s="22"/>
      <c r="G38" s="22"/>
      <c r="H38" s="22"/>
      <c r="I38" s="22"/>
      <c r="J38" s="22"/>
      <c r="K38" s="22"/>
      <c r="L38" s="85"/>
      <c r="N38" s="35"/>
      <c r="P38" s="22"/>
    </row>
    <row r="39" spans="2:14" ht="12.75" customHeight="1">
      <c r="B39" s="83"/>
      <c r="C39" s="3"/>
      <c r="D39" s="84"/>
      <c r="E39" s="22"/>
      <c r="F39" s="22"/>
      <c r="G39" s="22"/>
      <c r="H39" s="22"/>
      <c r="I39" s="22"/>
      <c r="J39" s="22"/>
      <c r="K39" s="22"/>
      <c r="N39" s="35"/>
    </row>
    <row r="40" spans="1:14" ht="12.75" customHeight="1" thickBot="1">
      <c r="A40" s="86"/>
      <c r="B40" s="87" t="s">
        <v>140</v>
      </c>
      <c r="C40" s="88"/>
      <c r="D40" s="89"/>
      <c r="E40" s="226"/>
      <c r="F40" s="226"/>
      <c r="G40" s="226"/>
      <c r="H40" s="90"/>
      <c r="I40" s="22"/>
      <c r="J40" s="22"/>
      <c r="K40" s="22"/>
      <c r="N40" s="35"/>
    </row>
    <row r="41" spans="1:14" ht="12.75" customHeight="1">
      <c r="A41" s="86"/>
      <c r="B41" s="85" t="s">
        <v>141</v>
      </c>
      <c r="C41" s="91"/>
      <c r="D41" s="92"/>
      <c r="E41" s="227"/>
      <c r="F41" s="227"/>
      <c r="G41" s="85"/>
      <c r="H41" s="77"/>
      <c r="I41" s="22"/>
      <c r="J41" s="22"/>
      <c r="L41" s="77"/>
      <c r="N41" s="35"/>
    </row>
    <row r="42" spans="1:14" ht="12.75" customHeight="1">
      <c r="A42" s="93" t="s">
        <v>29</v>
      </c>
      <c r="B42" s="94" t="s">
        <v>178</v>
      </c>
      <c r="C42" s="91"/>
      <c r="D42" s="92"/>
      <c r="E42" s="227"/>
      <c r="F42" s="227"/>
      <c r="G42" s="85"/>
      <c r="H42" s="77"/>
      <c r="I42" s="22"/>
      <c r="J42" s="22"/>
      <c r="L42" s="77"/>
      <c r="N42" s="35"/>
    </row>
    <row r="43" spans="1:14" ht="12.75" customHeight="1">
      <c r="A43" s="93" t="s">
        <v>29</v>
      </c>
      <c r="B43" s="94" t="s">
        <v>179</v>
      </c>
      <c r="C43" s="95"/>
      <c r="E43" s="22"/>
      <c r="F43" s="22"/>
      <c r="G43" s="22"/>
      <c r="H43" s="22"/>
      <c r="I43" s="22"/>
      <c r="J43" s="22"/>
      <c r="K43" s="22"/>
      <c r="N43" s="35"/>
    </row>
    <row r="44" spans="1:14" ht="12.75" customHeight="1">
      <c r="A44" s="93" t="s">
        <v>57</v>
      </c>
      <c r="B44" s="94" t="s">
        <v>180</v>
      </c>
      <c r="C44" s="95"/>
      <c r="D44" s="86"/>
      <c r="E44" s="22"/>
      <c r="F44" s="22"/>
      <c r="G44" s="22"/>
      <c r="H44" s="22"/>
      <c r="I44" s="22"/>
      <c r="J44" s="22"/>
      <c r="K44" s="22"/>
      <c r="N44" s="35"/>
    </row>
    <row r="45" spans="1:14" ht="12.75" customHeight="1">
      <c r="A45" s="93" t="s">
        <v>58</v>
      </c>
      <c r="B45" s="94" t="s">
        <v>181</v>
      </c>
      <c r="C45" s="95"/>
      <c r="D45" s="86"/>
      <c r="E45" s="22"/>
      <c r="F45" s="22"/>
      <c r="G45" s="22"/>
      <c r="H45" s="22"/>
      <c r="I45" s="22"/>
      <c r="J45" s="22"/>
      <c r="K45" s="22"/>
      <c r="N45" s="35"/>
    </row>
    <row r="46" spans="1:14" ht="12.75" customHeight="1">
      <c r="A46" s="93" t="s">
        <v>34</v>
      </c>
      <c r="B46" s="94" t="s">
        <v>144</v>
      </c>
      <c r="D46" s="96"/>
      <c r="E46" s="97"/>
      <c r="F46" s="97"/>
      <c r="G46" s="22"/>
      <c r="H46" s="22"/>
      <c r="I46" s="22"/>
      <c r="J46" s="22"/>
      <c r="K46" s="22"/>
      <c r="N46" s="35"/>
    </row>
    <row r="47" spans="1:14" ht="12.75" customHeight="1">
      <c r="A47" s="93" t="s">
        <v>35</v>
      </c>
      <c r="B47" s="94" t="s">
        <v>145</v>
      </c>
      <c r="D47" s="96"/>
      <c r="E47" s="97"/>
      <c r="F47" s="97"/>
      <c r="G47" s="22"/>
      <c r="H47" s="22"/>
      <c r="I47" s="22"/>
      <c r="J47" s="22"/>
      <c r="K47" s="22"/>
      <c r="N47" s="35"/>
    </row>
    <row r="48" spans="1:14" ht="12.75" customHeight="1">
      <c r="A48" s="93" t="s">
        <v>35</v>
      </c>
      <c r="B48" s="3" t="s">
        <v>210</v>
      </c>
      <c r="D48" s="96"/>
      <c r="E48" s="97"/>
      <c r="F48" s="97"/>
      <c r="G48" s="22"/>
      <c r="H48" s="22"/>
      <c r="I48" s="22"/>
      <c r="J48" s="22"/>
      <c r="K48" s="22"/>
      <c r="N48" s="35"/>
    </row>
    <row r="49" spans="1:14" ht="12.75" customHeight="1">
      <c r="A49" s="93" t="s">
        <v>38</v>
      </c>
      <c r="B49" s="3" t="s">
        <v>182</v>
      </c>
      <c r="C49" s="97"/>
      <c r="D49" s="96"/>
      <c r="E49" s="97"/>
      <c r="F49" s="97"/>
      <c r="G49" s="22"/>
      <c r="H49" s="22"/>
      <c r="I49" s="22"/>
      <c r="J49" s="22"/>
      <c r="K49" s="22"/>
      <c r="N49" s="35"/>
    </row>
    <row r="50" spans="1:14" ht="12.75" customHeight="1">
      <c r="A50" s="93" t="s">
        <v>48</v>
      </c>
      <c r="B50" s="3" t="s">
        <v>147</v>
      </c>
      <c r="I50" s="22"/>
      <c r="J50" s="22"/>
      <c r="K50" s="22"/>
      <c r="N50" s="35"/>
    </row>
    <row r="51" spans="1:2" ht="12.75" customHeight="1">
      <c r="A51" s="93" t="s">
        <v>68</v>
      </c>
      <c r="B51" s="3" t="s">
        <v>211</v>
      </c>
    </row>
    <row r="52" spans="3:14" ht="12.75" customHeight="1">
      <c r="C52" s="3"/>
      <c r="D52" s="84"/>
      <c r="E52" s="22"/>
      <c r="F52" s="22"/>
      <c r="G52" s="22"/>
      <c r="H52" s="22"/>
      <c r="I52" s="22"/>
      <c r="J52" s="22"/>
      <c r="K52" s="22"/>
      <c r="N52" s="35"/>
    </row>
    <row r="53" spans="3:14" ht="12.75" customHeight="1">
      <c r="C53" s="3"/>
      <c r="D53" s="84"/>
      <c r="E53" s="22"/>
      <c r="F53" s="22"/>
      <c r="G53" s="22"/>
      <c r="N53" s="35"/>
    </row>
    <row r="54" spans="7:14" ht="12.75" customHeight="1">
      <c r="G54" s="98"/>
      <c r="I54" s="99"/>
      <c r="J54" s="99"/>
      <c r="K54" s="4" t="s">
        <v>116</v>
      </c>
      <c r="N54" s="35"/>
    </row>
    <row r="55" spans="2:14" ht="18.75" customHeight="1">
      <c r="B55" s="100"/>
      <c r="C55" s="101"/>
      <c r="D55" s="101"/>
      <c r="F55" s="5" t="s">
        <v>148</v>
      </c>
      <c r="H55" s="102"/>
      <c r="L55" s="4"/>
      <c r="N55" s="58"/>
    </row>
    <row r="56" spans="5:14" s="86" customFormat="1" ht="13.5" customHeight="1">
      <c r="E56" s="28"/>
      <c r="F56" s="28"/>
      <c r="G56" s="28"/>
      <c r="H56" s="28"/>
      <c r="I56" s="28"/>
      <c r="J56" s="28"/>
      <c r="K56" s="28"/>
      <c r="N56" s="58"/>
    </row>
    <row r="57" spans="2:14" s="86" customFormat="1" ht="13.5" customHeight="1">
      <c r="B57" s="103"/>
      <c r="C57" s="104"/>
      <c r="D57" s="105"/>
      <c r="E57" s="72"/>
      <c r="F57" s="162">
        <f>F28</f>
        <v>2006</v>
      </c>
      <c r="G57" s="162">
        <f>G28</f>
        <v>2007</v>
      </c>
      <c r="H57" s="162">
        <f>H28</f>
        <v>2008</v>
      </c>
      <c r="I57" s="162">
        <f>I28</f>
        <v>2009</v>
      </c>
      <c r="J57" s="162">
        <f>J28</f>
        <v>2010</v>
      </c>
      <c r="K57" s="72"/>
      <c r="L57" s="106"/>
      <c r="M57" s="107" t="s">
        <v>60</v>
      </c>
      <c r="N57" s="31"/>
    </row>
    <row r="58" spans="2:14" s="86" customFormat="1" ht="13.5" customHeight="1" thickBot="1">
      <c r="B58" s="89" t="s">
        <v>149</v>
      </c>
      <c r="C58" s="184"/>
      <c r="D58" s="68"/>
      <c r="E58" s="72"/>
      <c r="F58" s="171">
        <v>0</v>
      </c>
      <c r="G58" s="171">
        <v>1</v>
      </c>
      <c r="H58" s="171">
        <v>2</v>
      </c>
      <c r="I58" s="171">
        <v>3</v>
      </c>
      <c r="J58" s="171">
        <v>4</v>
      </c>
      <c r="K58" s="72"/>
      <c r="L58" s="72"/>
      <c r="M58" s="6" t="s">
        <v>22</v>
      </c>
      <c r="N58" s="6" t="s">
        <v>62</v>
      </c>
    </row>
    <row r="59" spans="2:14" s="86" customFormat="1" ht="13.5" customHeight="1">
      <c r="B59" s="23" t="s">
        <v>150</v>
      </c>
      <c r="C59" s="108"/>
      <c r="D59" s="17" t="s">
        <v>29</v>
      </c>
      <c r="E59" s="19"/>
      <c r="F59" s="147">
        <f>-F31</f>
        <v>-20</v>
      </c>
      <c r="G59" s="18">
        <f>F31-G31</f>
        <v>-40</v>
      </c>
      <c r="H59" s="18">
        <f>G31-H31</f>
        <v>-4</v>
      </c>
      <c r="I59" s="18">
        <f>H31-I31</f>
        <v>-4.400000000000006</v>
      </c>
      <c r="J59" s="18">
        <f>I31-J31</f>
        <v>68.4</v>
      </c>
      <c r="K59" s="19"/>
      <c r="L59" s="109"/>
      <c r="M59" s="110">
        <v>0.2</v>
      </c>
      <c r="N59" s="110">
        <v>0</v>
      </c>
    </row>
    <row r="60" spans="2:14" s="86" customFormat="1" ht="13.5" customHeight="1">
      <c r="B60" s="170" t="s">
        <v>89</v>
      </c>
      <c r="C60" s="108"/>
      <c r="D60" s="17"/>
      <c r="E60" s="19"/>
      <c r="F60" s="31"/>
      <c r="G60" s="172">
        <f>G12</f>
        <v>24</v>
      </c>
      <c r="H60" s="172">
        <f>H12</f>
        <v>24.680000000000003</v>
      </c>
      <c r="I60" s="172">
        <f>I12</f>
        <v>25.216400000000007</v>
      </c>
      <c r="J60" s="172">
        <f>J12</f>
        <v>25.573092000000006</v>
      </c>
      <c r="K60" s="19"/>
      <c r="L60" s="109"/>
      <c r="M60" s="95" t="s">
        <v>15</v>
      </c>
      <c r="N60" s="111">
        <f>J12</f>
        <v>25.573092000000006</v>
      </c>
    </row>
    <row r="61" spans="2:14" s="86" customFormat="1" ht="13.5" customHeight="1">
      <c r="B61" s="113" t="s">
        <v>151</v>
      </c>
      <c r="C61" s="108"/>
      <c r="D61" s="17"/>
      <c r="E61" s="106"/>
      <c r="F61" s="82">
        <f>F59+F60</f>
        <v>-20</v>
      </c>
      <c r="G61" s="82">
        <f>G59+G60</f>
        <v>-16</v>
      </c>
      <c r="H61" s="82">
        <f>H59+H60</f>
        <v>20.680000000000003</v>
      </c>
      <c r="I61" s="82">
        <f>I59+I60</f>
        <v>20.8164</v>
      </c>
      <c r="J61" s="82">
        <f>J59+J60</f>
        <v>93.97309200000001</v>
      </c>
      <c r="K61" s="106"/>
      <c r="L61" s="104"/>
      <c r="M61" s="4" t="s">
        <v>114</v>
      </c>
      <c r="N61" s="112">
        <f>N60/(M59-N59)</f>
        <v>127.86546000000003</v>
      </c>
    </row>
    <row r="62" spans="2:16" s="86" customFormat="1" ht="21" customHeight="1">
      <c r="B62" s="113" t="s">
        <v>152</v>
      </c>
      <c r="C62" s="108"/>
      <c r="D62" s="58"/>
      <c r="E62" s="114"/>
      <c r="F62" s="174">
        <f>F59</f>
        <v>-20</v>
      </c>
      <c r="G62" s="175">
        <f>G59+G60*0.7</f>
        <v>-23.200000000000003</v>
      </c>
      <c r="H62" s="175">
        <f>H59+H60*0.7</f>
        <v>13.276</v>
      </c>
      <c r="I62" s="175">
        <f>I59+I60*0.7</f>
        <v>13.251479999999997</v>
      </c>
      <c r="J62" s="175">
        <f>J59+J60*0.7</f>
        <v>86.3011644</v>
      </c>
      <c r="K62" s="106"/>
      <c r="L62" s="104"/>
      <c r="M62" s="58"/>
      <c r="N62" s="3"/>
      <c r="O62" s="4"/>
      <c r="P62" s="112"/>
    </row>
    <row r="63" spans="2:15" s="86" customFormat="1" ht="13.5" customHeight="1">
      <c r="B63" s="68"/>
      <c r="C63" s="108"/>
      <c r="D63" s="58"/>
      <c r="E63" s="114"/>
      <c r="F63" s="114"/>
      <c r="G63" s="18"/>
      <c r="H63" s="18"/>
      <c r="I63" s="18"/>
      <c r="J63" s="18"/>
      <c r="K63" s="18"/>
      <c r="L63" s="104"/>
      <c r="M63" s="58"/>
      <c r="N63" s="3"/>
      <c r="O63" s="3"/>
    </row>
    <row r="64" spans="2:15" s="86" customFormat="1" ht="13.5" customHeight="1">
      <c r="B64" s="72" t="s">
        <v>199</v>
      </c>
      <c r="C64" s="78" t="s">
        <v>196</v>
      </c>
      <c r="D64" s="115">
        <v>0.2</v>
      </c>
      <c r="F64" s="114" t="s">
        <v>153</v>
      </c>
      <c r="G64" s="116">
        <f>NPV(D64,G61:J61)</f>
        <v>58.39311921296298</v>
      </c>
      <c r="H64" s="81" t="s">
        <v>154</v>
      </c>
      <c r="I64" s="117">
        <f>IRR(F61:J61)</f>
        <v>0.5527338186176078</v>
      </c>
      <c r="J64" s="81" t="s">
        <v>155</v>
      </c>
      <c r="K64" s="118">
        <f>G64+F61</f>
        <v>38.39311921296298</v>
      </c>
      <c r="L64" s="104"/>
      <c r="M64" s="119"/>
      <c r="N64" s="3"/>
      <c r="O64" s="3"/>
    </row>
    <row r="65" spans="2:15" s="86" customFormat="1" ht="13.5" customHeight="1">
      <c r="B65" s="72" t="s">
        <v>200</v>
      </c>
      <c r="C65" s="178" t="s">
        <v>196</v>
      </c>
      <c r="D65" s="179">
        <f>D64*(1-C15)</f>
        <v>0.13999999999999999</v>
      </c>
      <c r="E65" s="114"/>
      <c r="F65" s="114" t="s">
        <v>153</v>
      </c>
      <c r="G65" s="176">
        <f>NPV(D65,G62:J62)</f>
        <v>49.90616261783228</v>
      </c>
      <c r="H65" s="81" t="s">
        <v>154</v>
      </c>
      <c r="I65" s="180">
        <f>IRR(F62:J62)</f>
        <v>0.36742221043472045</v>
      </c>
      <c r="J65" s="81" t="s">
        <v>155</v>
      </c>
      <c r="K65" s="118">
        <f>G65+F62</f>
        <v>29.90616261783228</v>
      </c>
      <c r="L65" s="104"/>
      <c r="M65" s="58"/>
      <c r="N65" s="3"/>
      <c r="O65" s="3"/>
    </row>
    <row r="66" spans="11:15" s="86" customFormat="1" ht="13.5" customHeight="1">
      <c r="K66" s="18"/>
      <c r="L66" s="104"/>
      <c r="M66" s="58"/>
      <c r="N66" s="3"/>
      <c r="O66" s="3"/>
    </row>
    <row r="67" spans="2:15" s="86" customFormat="1" ht="13.5" customHeight="1">
      <c r="B67" s="120"/>
      <c r="C67" s="17"/>
      <c r="D67" s="3"/>
      <c r="E67" s="121"/>
      <c r="F67" s="121"/>
      <c r="G67" s="122"/>
      <c r="H67" s="68"/>
      <c r="I67" s="106"/>
      <c r="J67" s="122"/>
      <c r="K67" s="18"/>
      <c r="L67" s="104"/>
      <c r="M67" s="58"/>
      <c r="N67" s="3"/>
      <c r="O67" s="3"/>
    </row>
    <row r="68" spans="2:14" ht="13.5" customHeight="1" thickBot="1">
      <c r="B68" s="89" t="s">
        <v>156</v>
      </c>
      <c r="C68" s="184"/>
      <c r="D68" s="68"/>
      <c r="E68" s="72"/>
      <c r="F68" s="171">
        <f>F58</f>
        <v>0</v>
      </c>
      <c r="G68" s="171">
        <f>G58</f>
        <v>1</v>
      </c>
      <c r="H68" s="171">
        <f>H58</f>
        <v>2</v>
      </c>
      <c r="I68" s="171">
        <f>I58</f>
        <v>3</v>
      </c>
      <c r="J68" s="171">
        <f>J58</f>
        <v>4</v>
      </c>
      <c r="K68" s="72"/>
      <c r="L68" s="72"/>
      <c r="M68" s="107" t="s">
        <v>60</v>
      </c>
      <c r="N68" s="31"/>
    </row>
    <row r="69" spans="2:14" ht="13.5" customHeight="1">
      <c r="B69" s="23" t="s">
        <v>150</v>
      </c>
      <c r="C69" s="108"/>
      <c r="D69" s="17" t="s">
        <v>29</v>
      </c>
      <c r="E69" s="19"/>
      <c r="F69" s="18">
        <f>-F31</f>
        <v>-20</v>
      </c>
      <c r="G69" s="18">
        <f>F31-G31</f>
        <v>-40</v>
      </c>
      <c r="H69" s="18">
        <f>G31-H31</f>
        <v>-4</v>
      </c>
      <c r="I69" s="18">
        <f>H31-I31</f>
        <v>-4.400000000000006</v>
      </c>
      <c r="J69" s="18">
        <f>I31-J31</f>
        <v>68.4</v>
      </c>
      <c r="L69" s="109"/>
      <c r="M69" s="6" t="s">
        <v>22</v>
      </c>
      <c r="N69" s="6" t="s">
        <v>62</v>
      </c>
    </row>
    <row r="70" spans="2:16" ht="13.5" customHeight="1">
      <c r="B70" s="23" t="s">
        <v>157</v>
      </c>
      <c r="C70" s="108"/>
      <c r="D70" s="17" t="s">
        <v>31</v>
      </c>
      <c r="E70" s="19"/>
      <c r="F70" s="38">
        <f>F33</f>
        <v>10</v>
      </c>
      <c r="G70" s="38">
        <f>G33-F33</f>
        <v>24.950000000000003</v>
      </c>
      <c r="H70" s="38">
        <f>H33-G33</f>
        <v>-10.82950000000001</v>
      </c>
      <c r="I70" s="38">
        <f>I33-H33</f>
        <v>-11.563045000000002</v>
      </c>
      <c r="J70" s="38">
        <f>J33-I33</f>
        <v>-12.55745499999999</v>
      </c>
      <c r="L70" s="109"/>
      <c r="M70" s="110">
        <v>0.2</v>
      </c>
      <c r="N70" s="110">
        <v>0</v>
      </c>
      <c r="P70" s="111"/>
    </row>
    <row r="71" spans="2:14" ht="13.5" customHeight="1">
      <c r="B71" s="170" t="s">
        <v>158</v>
      </c>
      <c r="C71" s="108"/>
      <c r="D71" s="17"/>
      <c r="E71" s="19"/>
      <c r="F71" s="49"/>
      <c r="G71" s="49">
        <f>G16</f>
        <v>15.05</v>
      </c>
      <c r="H71" s="49">
        <f>H16</f>
        <v>14.829500000000003</v>
      </c>
      <c r="I71" s="49">
        <f>I16</f>
        <v>15.963045000000005</v>
      </c>
      <c r="J71" s="49">
        <f>J16</f>
        <v>17.022142550000005</v>
      </c>
      <c r="L71" s="109"/>
      <c r="M71" s="95" t="s">
        <v>120</v>
      </c>
      <c r="N71" s="111">
        <f>J16</f>
        <v>17.022142550000005</v>
      </c>
    </row>
    <row r="72" spans="2:14" ht="13.5" customHeight="1">
      <c r="B72" s="113" t="s">
        <v>159</v>
      </c>
      <c r="C72" s="108"/>
      <c r="D72" s="17" t="s">
        <v>33</v>
      </c>
      <c r="E72" s="106"/>
      <c r="F72" s="81">
        <f>SUM(F69:F71)</f>
        <v>-10</v>
      </c>
      <c r="G72" s="81">
        <f>SUM(G69:G71)</f>
        <v>0</v>
      </c>
      <c r="H72" s="81">
        <f>SUM(H69:H71)</f>
        <v>0</v>
      </c>
      <c r="I72" s="81">
        <f>SUM(I69:I71)</f>
        <v>0</v>
      </c>
      <c r="J72" s="81">
        <f>SUM(J69:J71)</f>
        <v>72.86468755000001</v>
      </c>
      <c r="L72" s="104"/>
      <c r="M72" s="4" t="s">
        <v>114</v>
      </c>
      <c r="N72" s="112">
        <f>N71/(M70-N70)</f>
        <v>85.11071275000002</v>
      </c>
    </row>
    <row r="73" spans="2:13" ht="13.5" customHeight="1">
      <c r="B73" s="68"/>
      <c r="C73" s="108"/>
      <c r="D73" s="58"/>
      <c r="E73" s="114"/>
      <c r="F73" s="114"/>
      <c r="G73" s="18"/>
      <c r="H73" s="18"/>
      <c r="I73" s="18"/>
      <c r="J73" s="18"/>
      <c r="K73" s="18"/>
      <c r="L73" s="104"/>
      <c r="M73" s="58"/>
    </row>
    <row r="74" spans="2:13" ht="13.5" customHeight="1">
      <c r="B74" s="72" t="s">
        <v>213</v>
      </c>
      <c r="C74" s="78" t="s">
        <v>198</v>
      </c>
      <c r="D74" s="115">
        <v>0.2</v>
      </c>
      <c r="F74" s="114" t="s">
        <v>153</v>
      </c>
      <c r="G74" s="116">
        <f>NPV(D74,G72:J72)</f>
        <v>35.13922046199847</v>
      </c>
      <c r="H74" s="81" t="s">
        <v>154</v>
      </c>
      <c r="I74" s="117">
        <f>IRR(F72:J72)</f>
        <v>0.6429686505015276</v>
      </c>
      <c r="J74" s="81" t="s">
        <v>155</v>
      </c>
      <c r="K74" s="118">
        <f>G74+F72</f>
        <v>25.13922046199847</v>
      </c>
      <c r="L74" s="104"/>
      <c r="M74" s="119"/>
    </row>
    <row r="75" spans="2:13" ht="13.5" customHeight="1">
      <c r="B75" s="68"/>
      <c r="C75" s="108"/>
      <c r="D75" s="58"/>
      <c r="E75" s="114"/>
      <c r="F75" s="114"/>
      <c r="G75" s="18"/>
      <c r="H75" s="18"/>
      <c r="I75" s="18"/>
      <c r="J75" s="18"/>
      <c r="K75" s="18"/>
      <c r="L75" s="104"/>
      <c r="M75" s="58"/>
    </row>
    <row r="77" spans="2:12" ht="13.5" customHeight="1" thickBot="1">
      <c r="B77" s="89" t="s">
        <v>160</v>
      </c>
      <c r="C77" s="184"/>
      <c r="D77" s="185"/>
      <c r="E77" s="186"/>
      <c r="F77" s="123"/>
      <c r="G77" s="58"/>
      <c r="L77" s="68"/>
    </row>
    <row r="78" spans="3:12" ht="13.5" customHeight="1">
      <c r="C78" s="3"/>
      <c r="F78" s="123"/>
      <c r="G78" s="58"/>
      <c r="L78" s="68"/>
    </row>
    <row r="79" spans="2:12" ht="13.5" customHeight="1">
      <c r="B79" s="204"/>
      <c r="C79" s="205" t="s">
        <v>162</v>
      </c>
      <c r="D79" s="206"/>
      <c r="E79" s="207"/>
      <c r="F79" s="122"/>
      <c r="L79" s="68"/>
    </row>
    <row r="80" spans="2:12" ht="13.5" customHeight="1">
      <c r="B80" s="272" t="s">
        <v>163</v>
      </c>
      <c r="C80" s="187">
        <v>150</v>
      </c>
      <c r="D80" s="187">
        <v>200</v>
      </c>
      <c r="E80" s="188">
        <v>250</v>
      </c>
      <c r="F80" s="42"/>
      <c r="G80" s="204"/>
      <c r="H80" s="208"/>
      <c r="I80" s="209" t="s">
        <v>168</v>
      </c>
      <c r="J80" s="210"/>
      <c r="L80" s="68"/>
    </row>
    <row r="81" spans="2:12" ht="13.5" customHeight="1">
      <c r="B81" s="277" t="s">
        <v>205</v>
      </c>
      <c r="C81" s="278">
        <v>0.43</v>
      </c>
      <c r="D81" s="278">
        <v>0.55</v>
      </c>
      <c r="E81" s="279">
        <v>0.66</v>
      </c>
      <c r="F81" s="128"/>
      <c r="G81" s="197" t="s">
        <v>167</v>
      </c>
      <c r="H81" s="50"/>
      <c r="I81" s="124" t="s">
        <v>8</v>
      </c>
      <c r="J81" s="195" t="s">
        <v>23</v>
      </c>
      <c r="L81" s="68"/>
    </row>
    <row r="82" spans="2:12" ht="13.5" customHeight="1">
      <c r="B82" s="189" t="s">
        <v>206</v>
      </c>
      <c r="C82" s="181">
        <v>42</v>
      </c>
      <c r="D82" s="181">
        <v>58</v>
      </c>
      <c r="E82" s="190">
        <v>75</v>
      </c>
      <c r="F82" s="128"/>
      <c r="G82" s="131" t="s">
        <v>190</v>
      </c>
      <c r="H82" s="42"/>
      <c r="I82" s="125">
        <v>0.38</v>
      </c>
      <c r="J82" s="196">
        <v>18</v>
      </c>
      <c r="L82" s="68"/>
    </row>
    <row r="83" spans="2:10" ht="13.5" customHeight="1">
      <c r="B83" s="189" t="s">
        <v>207</v>
      </c>
      <c r="C83" s="128">
        <v>0.5</v>
      </c>
      <c r="D83" s="128">
        <v>0.64</v>
      </c>
      <c r="E83" s="129">
        <v>0.75</v>
      </c>
      <c r="F83" s="128"/>
      <c r="G83" s="131" t="s">
        <v>191</v>
      </c>
      <c r="H83" s="42"/>
      <c r="I83" s="125">
        <v>0.64</v>
      </c>
      <c r="J83" s="196">
        <v>35</v>
      </c>
    </row>
    <row r="84" spans="2:16" ht="13.5" customHeight="1">
      <c r="B84" s="189" t="s">
        <v>208</v>
      </c>
      <c r="C84" s="42">
        <v>25</v>
      </c>
      <c r="D84" s="42">
        <v>35</v>
      </c>
      <c r="E84" s="221">
        <v>46</v>
      </c>
      <c r="F84" s="128"/>
      <c r="G84" s="197" t="s">
        <v>192</v>
      </c>
      <c r="H84" s="133"/>
      <c r="I84" s="198">
        <v>0.85</v>
      </c>
      <c r="J84" s="199">
        <v>57</v>
      </c>
      <c r="O84" s="130"/>
      <c r="P84" s="130"/>
    </row>
    <row r="85" spans="2:16" ht="13.5" customHeight="1">
      <c r="B85" s="192"/>
      <c r="C85" s="41"/>
      <c r="D85" s="14"/>
      <c r="E85" s="191"/>
      <c r="O85" s="130"/>
      <c r="P85" s="130"/>
    </row>
    <row r="86" spans="2:16" ht="13.5" customHeight="1">
      <c r="B86" s="272" t="s">
        <v>183</v>
      </c>
      <c r="C86" s="273">
        <v>0</v>
      </c>
      <c r="D86" s="273">
        <v>0.1</v>
      </c>
      <c r="E86" s="274">
        <v>0.15</v>
      </c>
      <c r="O86" s="130"/>
      <c r="P86" s="130"/>
    </row>
    <row r="87" spans="2:11" ht="13.5" customHeight="1">
      <c r="B87" s="277" t="s">
        <v>205</v>
      </c>
      <c r="C87" s="128">
        <v>0.5</v>
      </c>
      <c r="D87" s="128">
        <v>0.55</v>
      </c>
      <c r="E87" s="129">
        <v>0.58</v>
      </c>
      <c r="G87" s="200"/>
      <c r="H87" s="201"/>
      <c r="I87" s="202" t="s">
        <v>169</v>
      </c>
      <c r="J87" s="203"/>
      <c r="K87" s="14"/>
    </row>
    <row r="88" spans="2:11" ht="13.5" customHeight="1">
      <c r="B88" s="189" t="s">
        <v>206</v>
      </c>
      <c r="C88" s="181">
        <v>51</v>
      </c>
      <c r="D88" s="181">
        <v>58</v>
      </c>
      <c r="E88" s="190">
        <v>63</v>
      </c>
      <c r="G88" s="212"/>
      <c r="H88" s="213"/>
      <c r="I88" s="214" t="s">
        <v>184</v>
      </c>
      <c r="J88" s="215"/>
      <c r="K88" s="14"/>
    </row>
    <row r="89" spans="2:10" ht="13.5" customHeight="1">
      <c r="B89" s="189" t="s">
        <v>207</v>
      </c>
      <c r="C89" s="128">
        <v>0.58</v>
      </c>
      <c r="D89" s="128">
        <v>0.64</v>
      </c>
      <c r="E89" s="129">
        <v>0.68</v>
      </c>
      <c r="F89" s="58"/>
      <c r="G89" s="216" t="s">
        <v>19</v>
      </c>
      <c r="H89" s="127"/>
      <c r="I89" s="132" t="s">
        <v>8</v>
      </c>
      <c r="J89" s="217" t="s">
        <v>21</v>
      </c>
    </row>
    <row r="90" spans="2:13" ht="13.5" customHeight="1">
      <c r="B90" s="189" t="s">
        <v>208</v>
      </c>
      <c r="C90" s="42">
        <v>30</v>
      </c>
      <c r="D90" s="42">
        <v>35</v>
      </c>
      <c r="E90" s="221">
        <v>38</v>
      </c>
      <c r="F90" s="58"/>
      <c r="G90" s="218" t="s">
        <v>214</v>
      </c>
      <c r="H90" s="126"/>
      <c r="I90" s="125">
        <v>0.51</v>
      </c>
      <c r="J90" s="219">
        <v>23</v>
      </c>
      <c r="M90" s="85"/>
    </row>
    <row r="91" spans="2:13" ht="13.5" customHeight="1">
      <c r="B91" s="192"/>
      <c r="C91" s="14"/>
      <c r="D91" s="14"/>
      <c r="E91" s="191"/>
      <c r="F91" s="58"/>
      <c r="G91" s="218" t="s">
        <v>215</v>
      </c>
      <c r="H91" s="135"/>
      <c r="I91" s="125">
        <v>0.64</v>
      </c>
      <c r="J91" s="219">
        <v>25</v>
      </c>
      <c r="M91" s="85"/>
    </row>
    <row r="92" spans="2:13" ht="13.5" customHeight="1">
      <c r="B92" s="272" t="s">
        <v>166</v>
      </c>
      <c r="C92" s="275">
        <v>-0.02</v>
      </c>
      <c r="D92" s="275">
        <v>-0.01</v>
      </c>
      <c r="E92" s="276">
        <v>0</v>
      </c>
      <c r="F92" s="58"/>
      <c r="G92" s="218" t="s">
        <v>216</v>
      </c>
      <c r="H92" s="126"/>
      <c r="I92" s="125">
        <v>0.91</v>
      </c>
      <c r="J92" s="219">
        <v>27</v>
      </c>
      <c r="M92" s="85"/>
    </row>
    <row r="93" spans="2:13" ht="13.5" customHeight="1">
      <c r="B93" s="277" t="s">
        <v>205</v>
      </c>
      <c r="C93" s="128">
        <v>0.49</v>
      </c>
      <c r="D93" s="128">
        <v>0.55</v>
      </c>
      <c r="E93" s="129">
        <v>0.61</v>
      </c>
      <c r="F93" s="42"/>
      <c r="G93" s="211"/>
      <c r="H93" s="193"/>
      <c r="I93" s="193"/>
      <c r="J93" s="194"/>
      <c r="M93" s="85"/>
    </row>
    <row r="94" spans="2:13" ht="13.5" customHeight="1">
      <c r="B94" s="189" t="s">
        <v>206</v>
      </c>
      <c r="C94" s="181">
        <v>50</v>
      </c>
      <c r="D94" s="181">
        <v>58</v>
      </c>
      <c r="E94" s="190">
        <v>67</v>
      </c>
      <c r="F94" s="42"/>
      <c r="M94" s="85"/>
    </row>
    <row r="95" spans="2:13" ht="13.5" customHeight="1">
      <c r="B95" s="189" t="s">
        <v>207</v>
      </c>
      <c r="C95" s="128">
        <v>0.58</v>
      </c>
      <c r="D95" s="128">
        <v>0.64</v>
      </c>
      <c r="E95" s="129">
        <v>0.7</v>
      </c>
      <c r="F95" s="42"/>
      <c r="M95" s="85"/>
    </row>
    <row r="96" spans="2:13" ht="13.5" customHeight="1">
      <c r="B96" s="222" t="s">
        <v>208</v>
      </c>
      <c r="C96" s="50">
        <v>30</v>
      </c>
      <c r="D96" s="50">
        <v>35</v>
      </c>
      <c r="E96" s="223">
        <v>40</v>
      </c>
      <c r="F96" s="42"/>
      <c r="G96" s="58"/>
      <c r="H96" s="128"/>
      <c r="I96" s="126"/>
      <c r="J96" s="125"/>
      <c r="K96" s="134"/>
      <c r="M96" s="85"/>
    </row>
    <row r="98" spans="2:8" ht="13.5" customHeight="1" thickBot="1">
      <c r="B98" s="87" t="s">
        <v>185</v>
      </c>
      <c r="C98" s="88"/>
      <c r="D98" s="89"/>
      <c r="E98" s="226"/>
      <c r="F98" s="226"/>
      <c r="G98" s="226"/>
      <c r="H98" s="77"/>
    </row>
    <row r="99" spans="1:3" ht="13.5" customHeight="1">
      <c r="A99" s="93" t="s">
        <v>29</v>
      </c>
      <c r="B99" s="3" t="s">
        <v>186</v>
      </c>
      <c r="C99" s="3"/>
    </row>
    <row r="100" spans="1:3" ht="13.5" customHeight="1">
      <c r="A100" s="93" t="s">
        <v>31</v>
      </c>
      <c r="B100" s="3" t="s">
        <v>170</v>
      </c>
      <c r="C100" s="3"/>
    </row>
    <row r="101" spans="1:3" ht="13.5" customHeight="1">
      <c r="A101" s="93" t="s">
        <v>33</v>
      </c>
      <c r="B101" s="14" t="s">
        <v>187</v>
      </c>
      <c r="C101" s="3"/>
    </row>
    <row r="102" spans="1:13" ht="13.5" customHeight="1">
      <c r="A102" s="93" t="s">
        <v>34</v>
      </c>
      <c r="B102" s="220" t="s">
        <v>188</v>
      </c>
      <c r="M102" s="14"/>
    </row>
    <row r="103" spans="1:13" ht="13.5" customHeight="1">
      <c r="A103" s="14"/>
      <c r="B103" s="14" t="s">
        <v>189</v>
      </c>
      <c r="C103" s="41"/>
      <c r="D103" s="14"/>
      <c r="E103" s="14"/>
      <c r="F103" s="14"/>
      <c r="G103" s="14"/>
      <c r="H103" s="14"/>
      <c r="I103" s="14"/>
      <c r="J103" s="136"/>
      <c r="K103" s="136"/>
      <c r="L103" s="14"/>
      <c r="M103" s="14"/>
    </row>
    <row r="104" spans="2:13" ht="13.5" customHeight="1">
      <c r="B104" s="3" t="s">
        <v>173</v>
      </c>
      <c r="C104" s="41"/>
      <c r="D104" s="14"/>
      <c r="E104" s="14"/>
      <c r="F104" s="14"/>
      <c r="G104" s="14"/>
      <c r="H104" s="14"/>
      <c r="I104" s="14"/>
      <c r="J104" s="136"/>
      <c r="K104" s="136"/>
      <c r="L104" s="14"/>
      <c r="M104" s="14"/>
    </row>
    <row r="105" spans="1:13" ht="13.5" customHeight="1">
      <c r="A105" s="93" t="s">
        <v>35</v>
      </c>
      <c r="B105" s="14" t="s">
        <v>219</v>
      </c>
      <c r="C105" s="41"/>
      <c r="D105" s="14"/>
      <c r="E105" s="14"/>
      <c r="F105" s="14"/>
      <c r="G105" s="14"/>
      <c r="H105" s="14"/>
      <c r="I105" s="14"/>
      <c r="J105" s="136"/>
      <c r="K105" s="136"/>
      <c r="L105" s="14"/>
      <c r="M105" s="14"/>
    </row>
    <row r="106" spans="1:10" s="14" customFormat="1" ht="13.5" customHeight="1">
      <c r="A106" s="93" t="s">
        <v>38</v>
      </c>
      <c r="B106" s="14" t="s">
        <v>220</v>
      </c>
      <c r="C106" s="41"/>
      <c r="J106" s="136"/>
    </row>
    <row r="107" spans="10:11" s="14" customFormat="1" ht="13.5" customHeight="1">
      <c r="J107" s="136"/>
      <c r="K107" s="41" t="str">
        <f>K54</f>
        <v>© E.M. Abascal. Sept 2011</v>
      </c>
    </row>
    <row r="108" spans="1:15" s="14" customFormat="1" ht="13.5" customHeight="1">
      <c r="A108" s="84"/>
      <c r="C108" s="41"/>
      <c r="J108" s="136"/>
      <c r="K108" s="136"/>
      <c r="O108" s="137"/>
    </row>
    <row r="109" spans="1:11" s="14" customFormat="1" ht="13.5" customHeight="1">
      <c r="A109" s="84"/>
      <c r="C109" s="41"/>
      <c r="J109" s="136"/>
      <c r="K109" s="136"/>
    </row>
    <row r="110" s="14" customFormat="1" ht="13.5" customHeight="1">
      <c r="A110" s="138"/>
    </row>
    <row r="111" s="14" customFormat="1" ht="13.5" customHeight="1"/>
    <row r="112" s="14" customFormat="1" ht="13.5" customHeight="1"/>
    <row r="113" spans="3:11" s="14" customFormat="1" ht="13.5" customHeight="1">
      <c r="C113" s="41"/>
      <c r="J113" s="136"/>
      <c r="K113" s="136"/>
    </row>
    <row r="114" spans="1:7" s="14" customFormat="1" ht="13.5" customHeight="1">
      <c r="A114" s="136"/>
      <c r="B114" s="136"/>
      <c r="C114" s="141"/>
      <c r="D114" s="136"/>
      <c r="E114" s="136"/>
      <c r="F114" s="136"/>
      <c r="G114" s="3"/>
    </row>
    <row r="115" spans="2:7" s="14" customFormat="1" ht="13.5" customHeight="1">
      <c r="B115" s="3"/>
      <c r="C115" s="4"/>
      <c r="D115" s="3"/>
      <c r="E115" s="3"/>
      <c r="F115" s="3"/>
      <c r="G115" s="3"/>
    </row>
    <row r="116" spans="2:7" s="14" customFormat="1" ht="13.5" customHeight="1">
      <c r="B116" s="3"/>
      <c r="C116" s="4"/>
      <c r="D116" s="3"/>
      <c r="E116" s="3"/>
      <c r="F116" s="3"/>
      <c r="G116" s="3"/>
    </row>
    <row r="117" s="14" customFormat="1" ht="13.5" customHeight="1">
      <c r="G117" s="3"/>
    </row>
    <row r="118" s="140" customFormat="1" ht="13.5" customHeight="1">
      <c r="G118" s="139"/>
    </row>
    <row r="119" s="14" customFormat="1" ht="13.5" customHeight="1"/>
    <row r="120" s="14" customFormat="1" ht="13.5" customHeight="1"/>
    <row r="121" s="14" customFormat="1" ht="13.5" customHeight="1"/>
    <row r="122" s="14" customFormat="1" ht="13.5" customHeight="1">
      <c r="G122" s="3"/>
    </row>
    <row r="123" s="14" customFormat="1" ht="13.5" customHeight="1">
      <c r="C123" s="41"/>
    </row>
    <row r="124" s="14" customFormat="1" ht="13.5" customHeight="1">
      <c r="C124" s="41"/>
    </row>
    <row r="126" spans="12:14" ht="13.5" customHeight="1">
      <c r="L126" s="136"/>
      <c r="M126" s="136"/>
      <c r="N126" s="136"/>
    </row>
  </sheetData>
  <sheetProtection/>
  <printOptions headings="1"/>
  <pageMargins left="0.7480314960629921" right="0.2362204724409449" top="0.6299212598425197" bottom="0.6299212598425197" header="0.5118110236220472" footer="0.5118110236220472"/>
  <pageSetup horizontalDpi="1200" verticalDpi="1200" orientation="portrait" paperSize="9" scale="89" r:id="rId3"/>
  <rowBreaks count="1" manualBreakCount="1">
    <brk id="54" max="10" man="1"/>
  </rowBreaks>
  <legacyDrawing r:id="rId2"/>
</worksheet>
</file>

<file path=xl/worksheets/sheet5.xml><?xml version="1.0" encoding="utf-8"?>
<worksheet xmlns="http://schemas.openxmlformats.org/spreadsheetml/2006/main" xmlns:r="http://schemas.openxmlformats.org/officeDocument/2006/relationships">
  <dimension ref="A1:T128"/>
  <sheetViews>
    <sheetView showGridLines="0" view="pageBreakPreview" zoomScale="120" zoomScaleSheetLayoutView="120" zoomScalePageLayoutView="0" workbookViewId="0" topLeftCell="A1">
      <selection activeCell="M1" sqref="M1"/>
    </sheetView>
  </sheetViews>
  <sheetFormatPr defaultColWidth="9.125" defaultRowHeight="13.5" customHeight="1"/>
  <cols>
    <col min="1" max="1" width="4.00390625" style="3" customWidth="1"/>
    <col min="2" max="2" width="21.25390625" style="3" customWidth="1"/>
    <col min="3" max="3" width="8.00390625" style="4" customWidth="1"/>
    <col min="4" max="4" width="7.75390625" style="3" customWidth="1"/>
    <col min="5" max="5" width="5.875" style="3" customWidth="1"/>
    <col min="6" max="9" width="7.875" style="3" customWidth="1"/>
    <col min="10" max="10" width="8.875" style="3" customWidth="1"/>
    <col min="11" max="11" width="6.875" style="3" customWidth="1"/>
    <col min="12" max="12" width="5.375" style="3" customWidth="1"/>
    <col min="13" max="13" width="4.75390625" style="3" customWidth="1"/>
    <col min="14" max="14" width="6.75390625" style="3" customWidth="1"/>
    <col min="15" max="15" width="6.875" style="3" customWidth="1"/>
    <col min="16" max="16" width="9.125" style="3" customWidth="1"/>
    <col min="17" max="18" width="5.25390625" style="3" customWidth="1"/>
    <col min="19" max="16384" width="9.125" style="3" customWidth="1"/>
  </cols>
  <sheetData>
    <row r="1" spans="6:10" ht="21.75" customHeight="1">
      <c r="F1" s="5" t="s">
        <v>272</v>
      </c>
      <c r="I1" s="6"/>
      <c r="J1" s="339" t="s">
        <v>338</v>
      </c>
    </row>
    <row r="2" spans="2:11" ht="13.5" customHeight="1">
      <c r="B2" s="8"/>
      <c r="C2" s="9"/>
      <c r="D2" s="10"/>
      <c r="E2" s="143"/>
      <c r="F2" s="143"/>
      <c r="G2" s="10"/>
      <c r="H2" s="10"/>
      <c r="I2" s="11"/>
      <c r="J2" s="10"/>
      <c r="K2" s="10"/>
    </row>
    <row r="3" spans="2:14" ht="13.5" customHeight="1" thickBot="1">
      <c r="B3" s="89" t="s">
        <v>118</v>
      </c>
      <c r="C3" s="294" t="s">
        <v>133</v>
      </c>
      <c r="E3" s="14"/>
      <c r="F3" s="291">
        <v>2013</v>
      </c>
      <c r="G3" s="291">
        <f>F3+1</f>
        <v>2014</v>
      </c>
      <c r="H3" s="291">
        <f>G3+1</f>
        <v>2015</v>
      </c>
      <c r="I3" s="291">
        <f>H3+1</f>
        <v>2016</v>
      </c>
      <c r="J3" s="291">
        <f>I3+1</f>
        <v>2017</v>
      </c>
      <c r="K3" s="13"/>
      <c r="L3" s="13"/>
      <c r="N3" s="14"/>
    </row>
    <row r="4" spans="2:16" ht="13.5" customHeight="1">
      <c r="B4" s="15" t="s">
        <v>4</v>
      </c>
      <c r="C4" s="269">
        <v>400</v>
      </c>
      <c r="D4" s="17" t="s">
        <v>29</v>
      </c>
      <c r="E4" s="14"/>
      <c r="F4" s="148">
        <f>C4</f>
        <v>400</v>
      </c>
      <c r="G4" s="18">
        <f>F4*(1+G17)</f>
        <v>412</v>
      </c>
      <c r="H4" s="18">
        <f>G4*(1+H17)</f>
        <v>424.36</v>
      </c>
      <c r="I4" s="18">
        <f>H4*(1+I17)</f>
        <v>437.0908</v>
      </c>
      <c r="J4" s="18">
        <f>I4*(1+J17)</f>
        <v>450.203524</v>
      </c>
      <c r="K4" s="38"/>
      <c r="L4" s="19"/>
      <c r="M4" s="20"/>
      <c r="N4" s="14"/>
      <c r="O4" s="21"/>
      <c r="P4" s="22"/>
    </row>
    <row r="5" spans="2:16" ht="13.5" customHeight="1">
      <c r="B5" s="23" t="s">
        <v>119</v>
      </c>
      <c r="C5" s="271"/>
      <c r="D5" s="17"/>
      <c r="E5" s="14"/>
      <c r="F5" s="49">
        <v>162</v>
      </c>
      <c r="G5" s="265">
        <f>(G4-G6)</f>
        <v>313.12</v>
      </c>
      <c r="H5" s="265">
        <f>(H4-H6)</f>
        <v>326.7572</v>
      </c>
      <c r="I5" s="265">
        <f>(I4-I6)</f>
        <v>340.93082400000003</v>
      </c>
      <c r="J5" s="265">
        <f>(J4-J6)</f>
        <v>355.66078396</v>
      </c>
      <c r="K5" s="260"/>
      <c r="L5" s="263"/>
      <c r="M5" s="14"/>
      <c r="N5" s="14"/>
      <c r="O5" s="27"/>
      <c r="P5" s="22"/>
    </row>
    <row r="6" spans="2:16" ht="13.5" customHeight="1">
      <c r="B6" s="15" t="s">
        <v>121</v>
      </c>
      <c r="C6" s="16"/>
      <c r="D6" s="17" t="s">
        <v>31</v>
      </c>
      <c r="E6" s="14"/>
      <c r="F6" s="38">
        <f>F4*F18</f>
        <v>100</v>
      </c>
      <c r="G6" s="38">
        <f>G4*G18</f>
        <v>98.88</v>
      </c>
      <c r="H6" s="38">
        <f>H4*H18</f>
        <v>97.6028</v>
      </c>
      <c r="I6" s="38">
        <f>I4*I18</f>
        <v>96.15997599999999</v>
      </c>
      <c r="J6" s="38">
        <f>J4*J18</f>
        <v>94.54274003999998</v>
      </c>
      <c r="K6" s="38"/>
      <c r="L6" s="19"/>
      <c r="M6" s="28"/>
      <c r="N6" s="29"/>
      <c r="O6" s="21"/>
      <c r="P6" s="22"/>
    </row>
    <row r="7" spans="2:16" ht="13.5" customHeight="1">
      <c r="B7" s="23" t="s">
        <v>126</v>
      </c>
      <c r="C7" s="269">
        <v>20</v>
      </c>
      <c r="D7" s="17" t="s">
        <v>33</v>
      </c>
      <c r="E7" s="14"/>
      <c r="F7" s="266">
        <f>C7</f>
        <v>20</v>
      </c>
      <c r="G7" s="287">
        <f>F7*(1+G19)</f>
        <v>20.6</v>
      </c>
      <c r="H7" s="287">
        <f>G7*(1+H19)</f>
        <v>21.218000000000004</v>
      </c>
      <c r="I7" s="287">
        <f>H7*(1+I19)</f>
        <v>21.854540000000004</v>
      </c>
      <c r="J7" s="287">
        <f>I7*(1+J19)</f>
        <v>22.510176200000004</v>
      </c>
      <c r="K7" s="263"/>
      <c r="L7" s="263"/>
      <c r="M7" s="28"/>
      <c r="N7" s="14"/>
      <c r="O7" s="14"/>
      <c r="P7" s="32"/>
    </row>
    <row r="8" spans="2:16" ht="13.5" customHeight="1">
      <c r="B8" s="15" t="s">
        <v>7</v>
      </c>
      <c r="C8" s="33"/>
      <c r="D8" s="17"/>
      <c r="E8" s="14"/>
      <c r="F8" s="38">
        <f>F6-F7</f>
        <v>80</v>
      </c>
      <c r="G8" s="38">
        <f>G6-G7</f>
        <v>78.28</v>
      </c>
      <c r="H8" s="38">
        <f>H6-H7</f>
        <v>76.3848</v>
      </c>
      <c r="I8" s="38">
        <f>I6-I7</f>
        <v>74.30543599999999</v>
      </c>
      <c r="J8" s="38">
        <f>J6-J7</f>
        <v>72.03256383999998</v>
      </c>
      <c r="K8" s="260"/>
      <c r="L8" s="263"/>
      <c r="M8" s="32"/>
      <c r="N8" s="14"/>
      <c r="O8" s="27"/>
      <c r="P8" s="22"/>
    </row>
    <row r="9" spans="2:16" ht="13.5" customHeight="1">
      <c r="B9" s="23" t="s">
        <v>14</v>
      </c>
      <c r="C9" s="268">
        <v>40</v>
      </c>
      <c r="D9" s="17" t="s">
        <v>33</v>
      </c>
      <c r="E9" s="14"/>
      <c r="F9" s="265">
        <f>$C9</f>
        <v>40</v>
      </c>
      <c r="G9" s="265">
        <f>$C9</f>
        <v>40</v>
      </c>
      <c r="H9" s="265">
        <f>$C9</f>
        <v>40</v>
      </c>
      <c r="I9" s="265">
        <f>$C9</f>
        <v>40</v>
      </c>
      <c r="J9" s="265">
        <f>$C9</f>
        <v>40</v>
      </c>
      <c r="K9" s="260"/>
      <c r="L9" s="263"/>
      <c r="M9" s="32"/>
      <c r="N9" s="14"/>
      <c r="O9" s="21"/>
      <c r="P9" s="267"/>
    </row>
    <row r="10" spans="2:16" ht="13.5" customHeight="1">
      <c r="B10" s="15" t="s">
        <v>36</v>
      </c>
      <c r="C10" s="16"/>
      <c r="D10" s="37"/>
      <c r="E10" s="14"/>
      <c r="F10" s="38">
        <f>F8-F9</f>
        <v>40</v>
      </c>
      <c r="G10" s="38">
        <f>G8-G9</f>
        <v>38.28</v>
      </c>
      <c r="H10" s="38">
        <f>H8-H9</f>
        <v>36.3848</v>
      </c>
      <c r="I10" s="38">
        <f>I8-I9</f>
        <v>34.305435999999986</v>
      </c>
      <c r="J10" s="38">
        <f>J8-J9</f>
        <v>32.03256383999998</v>
      </c>
      <c r="K10" s="38"/>
      <c r="L10" s="19"/>
      <c r="M10" s="32"/>
      <c r="N10" s="14"/>
      <c r="O10" s="27"/>
      <c r="P10" s="22"/>
    </row>
    <row r="11" spans="2:16" s="4" customFormat="1" ht="13.5" customHeight="1">
      <c r="B11" s="39" t="s">
        <v>16</v>
      </c>
      <c r="C11" s="257">
        <v>0.06</v>
      </c>
      <c r="D11" s="17" t="s">
        <v>34</v>
      </c>
      <c r="E11" s="41"/>
      <c r="F11" s="266">
        <f>$C11*E31</f>
        <v>9</v>
      </c>
      <c r="G11" s="266">
        <f>$C11*F31</f>
        <v>9</v>
      </c>
      <c r="H11" s="266">
        <f>$C11*G31</f>
        <v>9</v>
      </c>
      <c r="I11" s="266">
        <f>$C11*H31</f>
        <v>9</v>
      </c>
      <c r="J11" s="266">
        <f>$C11*I31</f>
        <v>9</v>
      </c>
      <c r="K11" s="263"/>
      <c r="L11" s="263"/>
      <c r="M11" s="40"/>
      <c r="N11" s="41"/>
      <c r="O11" s="21"/>
      <c r="P11" s="22"/>
    </row>
    <row r="12" spans="2:16" ht="13.5" customHeight="1">
      <c r="B12" s="15" t="s">
        <v>17</v>
      </c>
      <c r="C12" s="16"/>
      <c r="D12" s="42"/>
      <c r="E12" s="14"/>
      <c r="F12" s="38">
        <f>F10-F11</f>
        <v>31</v>
      </c>
      <c r="G12" s="38">
        <f>G10-G11</f>
        <v>29.28</v>
      </c>
      <c r="H12" s="38">
        <f>H10-H11</f>
        <v>27.3848</v>
      </c>
      <c r="I12" s="38">
        <f>I10-I11</f>
        <v>25.305435999999986</v>
      </c>
      <c r="J12" s="38">
        <f>J10-J11</f>
        <v>23.03256383999998</v>
      </c>
      <c r="K12" s="38"/>
      <c r="L12" s="19"/>
      <c r="M12" s="38"/>
      <c r="N12" s="14"/>
      <c r="O12" s="27"/>
      <c r="P12" s="22"/>
    </row>
    <row r="13" spans="2:16" ht="13.5" customHeight="1">
      <c r="B13" s="23" t="s">
        <v>3</v>
      </c>
      <c r="C13" s="251">
        <v>0.3</v>
      </c>
      <c r="D13" s="17" t="s">
        <v>34</v>
      </c>
      <c r="E13" s="14"/>
      <c r="F13" s="49">
        <f>C13*F12</f>
        <v>9.299999999999999</v>
      </c>
      <c r="G13" s="265">
        <f>$C$13*G12</f>
        <v>8.784</v>
      </c>
      <c r="H13" s="265">
        <f>$C$13*H12</f>
        <v>8.21544</v>
      </c>
      <c r="I13" s="265">
        <f>$C$13*I12</f>
        <v>7.5916307999999955</v>
      </c>
      <c r="J13" s="265">
        <f>$C$13*J12</f>
        <v>6.909769151999994</v>
      </c>
      <c r="K13" s="260"/>
      <c r="L13" s="263"/>
      <c r="M13" s="260"/>
      <c r="N13" s="14"/>
      <c r="O13" s="149"/>
      <c r="P13" s="22"/>
    </row>
    <row r="14" spans="2:16" ht="13.5" customHeight="1">
      <c r="B14" s="15" t="s">
        <v>122</v>
      </c>
      <c r="C14" s="18"/>
      <c r="D14" s="37"/>
      <c r="E14" s="14"/>
      <c r="F14" s="38">
        <f>F12-F13</f>
        <v>21.700000000000003</v>
      </c>
      <c r="G14" s="264">
        <f>G12-G13</f>
        <v>20.496000000000002</v>
      </c>
      <c r="H14" s="264">
        <f>H12-H13</f>
        <v>19.169359999999998</v>
      </c>
      <c r="I14" s="264">
        <f>I12-I13</f>
        <v>17.71380519999999</v>
      </c>
      <c r="J14" s="264">
        <f>J12-J13</f>
        <v>16.122794687999985</v>
      </c>
      <c r="K14" s="260"/>
      <c r="L14" s="263"/>
      <c r="M14" s="260"/>
      <c r="N14" s="14"/>
      <c r="O14" s="21"/>
      <c r="P14" s="45"/>
    </row>
    <row r="15" spans="2:16" ht="15.75" customHeight="1">
      <c r="B15" s="15"/>
      <c r="C15" s="18"/>
      <c r="D15" s="37"/>
      <c r="E15" s="38"/>
      <c r="F15" s="38"/>
      <c r="G15" s="262"/>
      <c r="H15" s="262"/>
      <c r="I15" s="262"/>
      <c r="J15" s="262"/>
      <c r="K15" s="261"/>
      <c r="L15" s="260"/>
      <c r="M15" s="14"/>
      <c r="N15" s="14"/>
      <c r="P15" s="22"/>
    </row>
    <row r="16" spans="2:16" ht="13.5" customHeight="1" thickBot="1">
      <c r="B16" s="183" t="s">
        <v>123</v>
      </c>
      <c r="C16" s="293"/>
      <c r="D16" s="47"/>
      <c r="E16" s="258"/>
      <c r="F16" s="259"/>
      <c r="G16" s="49"/>
      <c r="H16" s="51"/>
      <c r="I16" s="193"/>
      <c r="J16" s="49"/>
      <c r="K16" s="286" t="s">
        <v>174</v>
      </c>
      <c r="M16" s="14"/>
      <c r="N16" s="14"/>
      <c r="O16" s="43"/>
      <c r="P16" s="22"/>
    </row>
    <row r="17" spans="2:18" ht="13.5" customHeight="1">
      <c r="B17" s="52" t="s">
        <v>175</v>
      </c>
      <c r="C17" s="257">
        <v>0.03</v>
      </c>
      <c r="D17" s="17" t="s">
        <v>29</v>
      </c>
      <c r="E17" s="14"/>
      <c r="F17" s="242" t="s">
        <v>10</v>
      </c>
      <c r="G17" s="241">
        <f>$C17</f>
        <v>0.03</v>
      </c>
      <c r="H17" s="241">
        <f>$C17</f>
        <v>0.03</v>
      </c>
      <c r="I17" s="241">
        <f>$C17</f>
        <v>0.03</v>
      </c>
      <c r="J17" s="241">
        <f>$C17</f>
        <v>0.03</v>
      </c>
      <c r="K17" s="53">
        <f>AVERAGE(G17:K17)</f>
        <v>0.03</v>
      </c>
      <c r="M17" s="14"/>
      <c r="N17" s="255" t="s">
        <v>77</v>
      </c>
      <c r="O17" s="4" t="s">
        <v>78</v>
      </c>
      <c r="P17" s="4" t="s">
        <v>79</v>
      </c>
      <c r="Q17" s="94" t="s">
        <v>80</v>
      </c>
      <c r="R17" s="4" t="s">
        <v>81</v>
      </c>
    </row>
    <row r="18" spans="2:20" ht="13.5" customHeight="1">
      <c r="B18" s="52" t="s">
        <v>125</v>
      </c>
      <c r="C18" s="251">
        <v>-0.01</v>
      </c>
      <c r="D18" s="17" t="s">
        <v>31</v>
      </c>
      <c r="E18" s="14"/>
      <c r="F18" s="285">
        <v>0.25</v>
      </c>
      <c r="G18" s="284">
        <f>F18+$C18</f>
        <v>0.24</v>
      </c>
      <c r="H18" s="284">
        <f>G18+$C18</f>
        <v>0.22999999999999998</v>
      </c>
      <c r="I18" s="284">
        <f>H18+$C18</f>
        <v>0.21999999999999997</v>
      </c>
      <c r="J18" s="284">
        <f>I18+$C18</f>
        <v>0.20999999999999996</v>
      </c>
      <c r="K18" s="53">
        <f>AVERAGE(F18:K18)</f>
        <v>0.22999999999999998</v>
      </c>
      <c r="M18" s="14"/>
      <c r="N18" s="29">
        <f>O18+P18*(Q18-R18)</f>
        <v>0.4866666666666666</v>
      </c>
      <c r="O18" s="248">
        <f>F23</f>
        <v>0.16666666666666666</v>
      </c>
      <c r="P18" s="248">
        <f>E31/E32</f>
        <v>3</v>
      </c>
      <c r="Q18" s="248">
        <f>O18</f>
        <v>0.16666666666666666</v>
      </c>
      <c r="R18" s="248">
        <f>C11</f>
        <v>0.06</v>
      </c>
      <c r="S18" s="246" t="s">
        <v>82</v>
      </c>
      <c r="T18" s="248"/>
    </row>
    <row r="19" spans="2:19" ht="13.5" customHeight="1">
      <c r="B19" s="52" t="s">
        <v>127</v>
      </c>
      <c r="C19" s="251">
        <v>0.03</v>
      </c>
      <c r="D19" s="17" t="s">
        <v>33</v>
      </c>
      <c r="E19" s="14"/>
      <c r="F19" s="245" t="s">
        <v>10</v>
      </c>
      <c r="G19" s="283">
        <f>$C19</f>
        <v>0.03</v>
      </c>
      <c r="H19" s="283">
        <f>$C19</f>
        <v>0.03</v>
      </c>
      <c r="I19" s="283">
        <f>$C19</f>
        <v>0.03</v>
      </c>
      <c r="J19" s="283">
        <f>$C19</f>
        <v>0.03</v>
      </c>
      <c r="K19" s="53">
        <f>AVERAGE(G19:K19)</f>
        <v>0.03</v>
      </c>
      <c r="M19" s="14"/>
      <c r="N19" s="29">
        <f>O19+P19*(Q19-R19)</f>
        <v>0.3406666666666666</v>
      </c>
      <c r="O19" s="247">
        <f>O18*0.7</f>
        <v>0.11666666666666665</v>
      </c>
      <c r="P19" s="7">
        <f>P18</f>
        <v>3</v>
      </c>
      <c r="Q19" s="248">
        <f>O19</f>
        <v>0.11666666666666665</v>
      </c>
      <c r="R19" s="247">
        <f>R18*0.7</f>
        <v>0.041999999999999996</v>
      </c>
      <c r="S19" s="246" t="s">
        <v>83</v>
      </c>
    </row>
    <row r="20" spans="2:14" ht="13.5" customHeight="1">
      <c r="B20" s="52" t="s">
        <v>128</v>
      </c>
      <c r="C20" s="57"/>
      <c r="D20" s="242"/>
      <c r="E20" s="14"/>
      <c r="F20" s="245">
        <f>F8/F4</f>
        <v>0.2</v>
      </c>
      <c r="G20" s="244">
        <f>G8/G4</f>
        <v>0.19</v>
      </c>
      <c r="H20" s="244">
        <f>H8/H4</f>
        <v>0.18</v>
      </c>
      <c r="I20" s="244">
        <f>I8/I4</f>
        <v>0.16999999999999996</v>
      </c>
      <c r="J20" s="244">
        <f>J8/J4</f>
        <v>0.15999999999999995</v>
      </c>
      <c r="K20" s="53">
        <f>AVERAGE(F20:K20)</f>
        <v>0.17999999999999997</v>
      </c>
      <c r="M20" s="14"/>
      <c r="N20" s="14"/>
    </row>
    <row r="21" spans="2:14" ht="13.5" customHeight="1">
      <c r="B21" s="52" t="s">
        <v>129</v>
      </c>
      <c r="C21" s="57"/>
      <c r="D21" s="57"/>
      <c r="E21" s="14"/>
      <c r="F21" s="242">
        <f>F14/F4</f>
        <v>0.05425000000000001</v>
      </c>
      <c r="G21" s="243">
        <f>G14/G4</f>
        <v>0.049747572815533984</v>
      </c>
      <c r="H21" s="243">
        <f>H14/H4</f>
        <v>0.04517240079178056</v>
      </c>
      <c r="I21" s="243">
        <f>I14/I4</f>
        <v>0.04052660271046654</v>
      </c>
      <c r="J21" s="243">
        <f>J14/J4</f>
        <v>0.035812235641229644</v>
      </c>
      <c r="K21" s="53">
        <f>AVERAGE(G21:K21)</f>
        <v>0.042814702989752686</v>
      </c>
      <c r="M21" s="14"/>
      <c r="N21" s="14"/>
    </row>
    <row r="22" spans="2:16" ht="13.5" customHeight="1">
      <c r="B22" s="52" t="s">
        <v>130</v>
      </c>
      <c r="C22" s="18"/>
      <c r="D22" s="33"/>
      <c r="E22" s="14"/>
      <c r="F22" s="242">
        <f>F14/E32</f>
        <v>0.43400000000000005</v>
      </c>
      <c r="G22" s="242">
        <f>G14/F32</f>
        <v>0.28585774058577407</v>
      </c>
      <c r="H22" s="242">
        <f>H14/G32</f>
        <v>0.20791964944249205</v>
      </c>
      <c r="I22" s="242">
        <f>I14/H32</f>
        <v>0.15906027870784945</v>
      </c>
      <c r="J22" s="242">
        <f>J14/I32</f>
        <v>0.12490625162487484</v>
      </c>
      <c r="K22" s="53">
        <f>AVERAGE(F22:K22)</f>
        <v>0.2423487840721981</v>
      </c>
      <c r="M22" s="14"/>
      <c r="N22" s="14"/>
      <c r="P22" s="7"/>
    </row>
    <row r="23" spans="2:16" ht="13.5" customHeight="1">
      <c r="B23" s="52" t="s">
        <v>131</v>
      </c>
      <c r="C23" s="18"/>
      <c r="D23" s="33"/>
      <c r="E23" s="14"/>
      <c r="F23" s="242">
        <f>F10/F29</f>
        <v>0.16666666666666666</v>
      </c>
      <c r="G23" s="242">
        <f>G10/F29</f>
        <v>0.1595</v>
      </c>
      <c r="H23" s="242">
        <f>H10/G29</f>
        <v>0.1797667984189723</v>
      </c>
      <c r="I23" s="242">
        <f>I10/H29</f>
        <v>0.2080731476539375</v>
      </c>
      <c r="J23" s="242">
        <f>J10/I29</f>
        <v>0.2513971622255413</v>
      </c>
      <c r="K23" s="53">
        <f>AVERAGE(G23:K23)</f>
        <v>0.19968427707461278</v>
      </c>
      <c r="M23" s="14"/>
      <c r="N23" s="14"/>
      <c r="P23" s="7"/>
    </row>
    <row r="24" spans="2:16" ht="13.5" customHeight="1">
      <c r="B24" s="52"/>
      <c r="C24" s="18"/>
      <c r="D24" s="33"/>
      <c r="E24" s="242"/>
      <c r="F24" s="242"/>
      <c r="G24" s="242"/>
      <c r="H24" s="242"/>
      <c r="I24" s="242"/>
      <c r="J24" s="242"/>
      <c r="K24" s="242"/>
      <c r="L24" s="241"/>
      <c r="M24" s="14"/>
      <c r="N24" s="14"/>
      <c r="P24" s="7"/>
    </row>
    <row r="25" spans="2:15" ht="13.5" customHeight="1">
      <c r="B25" s="52"/>
      <c r="C25" s="65"/>
      <c r="D25" s="66"/>
      <c r="E25" s="282"/>
      <c r="F25" s="146"/>
      <c r="G25" s="66"/>
      <c r="H25" s="67"/>
      <c r="J25" s="66"/>
      <c r="K25" s="66"/>
      <c r="L25" s="68"/>
      <c r="M25" s="14"/>
      <c r="N25" s="14"/>
      <c r="O25" s="69"/>
    </row>
    <row r="26" spans="2:18" ht="13.5" customHeight="1" thickBot="1">
      <c r="B26" s="182" t="s">
        <v>132</v>
      </c>
      <c r="C26" s="70"/>
      <c r="D26" s="12" t="s">
        <v>133</v>
      </c>
      <c r="E26" s="71">
        <f>F26-1</f>
        <v>2012</v>
      </c>
      <c r="F26" s="71">
        <f>F3</f>
        <v>2013</v>
      </c>
      <c r="G26" s="71">
        <f>G3</f>
        <v>2014</v>
      </c>
      <c r="H26" s="71">
        <f>H3</f>
        <v>2015</v>
      </c>
      <c r="I26" s="71">
        <f>I3</f>
        <v>2016</v>
      </c>
      <c r="J26" s="71">
        <f>J3</f>
        <v>2017</v>
      </c>
      <c r="K26" s="72"/>
      <c r="L26" s="72"/>
      <c r="M26" s="28"/>
      <c r="N26" s="14"/>
      <c r="O26" s="73"/>
      <c r="P26" s="74"/>
      <c r="Q26" s="13"/>
      <c r="R26" s="75"/>
    </row>
    <row r="27" spans="2:18" ht="13.5" customHeight="1">
      <c r="B27" s="23" t="s">
        <v>18</v>
      </c>
      <c r="C27" s="257">
        <v>0.2</v>
      </c>
      <c r="D27" s="17" t="s">
        <v>35</v>
      </c>
      <c r="E27" s="19"/>
      <c r="F27" s="38">
        <f>$C27*F4</f>
        <v>80</v>
      </c>
      <c r="G27" s="38">
        <f>$C27*G4</f>
        <v>82.4</v>
      </c>
      <c r="H27" s="38">
        <f>$C27*H4</f>
        <v>84.87200000000001</v>
      </c>
      <c r="I27" s="38">
        <f>$C27*I4</f>
        <v>87.41816</v>
      </c>
      <c r="J27" s="38">
        <v>0</v>
      </c>
      <c r="K27" s="19"/>
      <c r="L27" s="19"/>
      <c r="M27" s="28"/>
      <c r="O27" s="27"/>
      <c r="P27" s="239"/>
      <c r="Q27" s="77"/>
      <c r="R27" s="22"/>
    </row>
    <row r="28" spans="2:18" ht="13.5" customHeight="1">
      <c r="B28" s="23" t="s">
        <v>134</v>
      </c>
      <c r="C28" s="158">
        <v>0</v>
      </c>
      <c r="D28" s="17" t="s">
        <v>35</v>
      </c>
      <c r="E28" s="224">
        <v>200</v>
      </c>
      <c r="F28" s="79">
        <f>E28-F9+$C28</f>
        <v>160</v>
      </c>
      <c r="G28" s="79">
        <f>F28-G9+$C28</f>
        <v>120</v>
      </c>
      <c r="H28" s="79">
        <f>G28-H9+$C28</f>
        <v>80</v>
      </c>
      <c r="I28" s="79">
        <f>H28-I9+$C28</f>
        <v>40</v>
      </c>
      <c r="J28" s="79">
        <v>0</v>
      </c>
      <c r="K28" s="19"/>
      <c r="L28" s="19"/>
      <c r="M28" s="28"/>
      <c r="O28" s="27"/>
      <c r="Q28" s="77"/>
      <c r="R28" s="22"/>
    </row>
    <row r="29" spans="2:18" ht="13.5" customHeight="1">
      <c r="B29" s="15" t="s">
        <v>135</v>
      </c>
      <c r="C29" s="18"/>
      <c r="D29" s="58"/>
      <c r="E29" s="38">
        <f aca="true" t="shared" si="0" ref="E29:J29">E27+E28</f>
        <v>200</v>
      </c>
      <c r="F29" s="38">
        <f t="shared" si="0"/>
        <v>240</v>
      </c>
      <c r="G29" s="38">
        <f t="shared" si="0"/>
        <v>202.4</v>
      </c>
      <c r="H29" s="38">
        <f t="shared" si="0"/>
        <v>164.872</v>
      </c>
      <c r="I29" s="38">
        <f t="shared" si="0"/>
        <v>127.41816</v>
      </c>
      <c r="J29" s="38">
        <f t="shared" si="0"/>
        <v>0</v>
      </c>
      <c r="K29" s="19"/>
      <c r="L29" s="19"/>
      <c r="P29" s="22"/>
      <c r="Q29" s="77"/>
      <c r="R29" s="22"/>
    </row>
    <row r="30" spans="2:18" ht="6.75" customHeight="1">
      <c r="B30" s="23"/>
      <c r="C30" s="18"/>
      <c r="D30" s="18"/>
      <c r="E30" s="19"/>
      <c r="F30" s="38"/>
      <c r="G30" s="18"/>
      <c r="H30" s="18"/>
      <c r="I30" s="18"/>
      <c r="J30" s="18"/>
      <c r="K30" s="19"/>
      <c r="L30" s="19"/>
      <c r="O30" s="27"/>
      <c r="P30" s="80"/>
      <c r="Q30" s="77"/>
      <c r="R30" s="22"/>
    </row>
    <row r="31" spans="2:18" ht="13.5" customHeight="1">
      <c r="B31" s="23" t="s">
        <v>137</v>
      </c>
      <c r="C31" s="81"/>
      <c r="D31" s="17" t="s">
        <v>38</v>
      </c>
      <c r="E31" s="225">
        <v>150</v>
      </c>
      <c r="F31" s="19">
        <f>E31</f>
        <v>150</v>
      </c>
      <c r="G31" s="19">
        <f>F31</f>
        <v>150</v>
      </c>
      <c r="H31" s="19">
        <f>G31</f>
        <v>150</v>
      </c>
      <c r="I31" s="19">
        <f>H31</f>
        <v>150</v>
      </c>
      <c r="J31" s="38">
        <f>IF(J32&gt;J29,0,J29-J32)</f>
        <v>0</v>
      </c>
      <c r="K31" s="19"/>
      <c r="L31" s="19"/>
      <c r="N31" s="35"/>
      <c r="O31" s="27"/>
      <c r="P31" s="80"/>
      <c r="Q31" s="77"/>
      <c r="R31" s="22"/>
    </row>
    <row r="32" spans="2:18" ht="13.5" customHeight="1">
      <c r="B32" s="23" t="s">
        <v>136</v>
      </c>
      <c r="C32" s="82"/>
      <c r="D32" s="17" t="s">
        <v>48</v>
      </c>
      <c r="E32" s="224">
        <v>50</v>
      </c>
      <c r="F32" s="79">
        <f>E32+F14</f>
        <v>71.7</v>
      </c>
      <c r="G32" s="79">
        <f>F32+G14</f>
        <v>92.196</v>
      </c>
      <c r="H32" s="49">
        <f>G32+H14</f>
        <v>111.36536</v>
      </c>
      <c r="I32" s="49">
        <f>H32+I14</f>
        <v>129.07916519999998</v>
      </c>
      <c r="J32" s="49">
        <f>I32+J14</f>
        <v>145.20195988799998</v>
      </c>
      <c r="K32" s="19"/>
      <c r="L32" s="19"/>
      <c r="N32" s="35"/>
      <c r="O32" s="21"/>
      <c r="P32" s="22"/>
      <c r="Q32" s="77"/>
      <c r="R32" s="22"/>
    </row>
    <row r="33" spans="2:18" ht="12" customHeight="1">
      <c r="B33" s="15" t="s">
        <v>138</v>
      </c>
      <c r="C33" s="18"/>
      <c r="D33" s="18"/>
      <c r="E33" s="18">
        <f aca="true" t="shared" si="1" ref="E33:J33">E32+E31</f>
        <v>200</v>
      </c>
      <c r="F33" s="18">
        <f t="shared" si="1"/>
        <v>221.7</v>
      </c>
      <c r="G33" s="18">
        <f t="shared" si="1"/>
        <v>242.196</v>
      </c>
      <c r="H33" s="18">
        <f t="shared" si="1"/>
        <v>261.36536</v>
      </c>
      <c r="I33" s="18">
        <f t="shared" si="1"/>
        <v>279.0791652</v>
      </c>
      <c r="J33" s="18">
        <f t="shared" si="1"/>
        <v>145.20195988799998</v>
      </c>
      <c r="K33" s="19"/>
      <c r="L33" s="19"/>
      <c r="N33" s="35"/>
      <c r="O33" s="27"/>
      <c r="P33" s="22"/>
      <c r="Q33" s="77"/>
      <c r="R33" s="22"/>
    </row>
    <row r="34" spans="3:18" ht="19.5" customHeight="1">
      <c r="C34" s="281" t="s">
        <v>271</v>
      </c>
      <c r="D34" s="17" t="s">
        <v>68</v>
      </c>
      <c r="E34" s="38">
        <f aca="true" t="shared" si="2" ref="E34:J34">E33-E29</f>
        <v>0</v>
      </c>
      <c r="F34" s="38">
        <f t="shared" si="2"/>
        <v>-18.30000000000001</v>
      </c>
      <c r="G34" s="38">
        <f t="shared" si="2"/>
        <v>39.79599999999999</v>
      </c>
      <c r="H34" s="38">
        <f t="shared" si="2"/>
        <v>96.49336</v>
      </c>
      <c r="I34" s="38">
        <f t="shared" si="2"/>
        <v>151.66100519999998</v>
      </c>
      <c r="J34" s="38">
        <f t="shared" si="2"/>
        <v>145.20195988799998</v>
      </c>
      <c r="K34" s="19"/>
      <c r="L34" s="19"/>
      <c r="N34" s="35"/>
      <c r="O34" s="27"/>
      <c r="P34" s="22"/>
      <c r="Q34" s="22"/>
      <c r="R34" s="14"/>
    </row>
    <row r="35" spans="3:16" ht="12.75" customHeight="1">
      <c r="C35" s="281" t="s">
        <v>177</v>
      </c>
      <c r="D35" s="17" t="s">
        <v>68</v>
      </c>
      <c r="E35" s="19"/>
      <c r="F35" s="38">
        <f>F34-E34</f>
        <v>-18.30000000000001</v>
      </c>
      <c r="G35" s="38">
        <f>G34-F34</f>
        <v>58.096000000000004</v>
      </c>
      <c r="H35" s="38">
        <f>H34-G34</f>
        <v>56.69736</v>
      </c>
      <c r="I35" s="38">
        <f>I34-H34</f>
        <v>55.16764519999998</v>
      </c>
      <c r="J35" s="38">
        <f>J34-I34</f>
        <v>-6.459045312000001</v>
      </c>
      <c r="K35" s="19"/>
      <c r="L35" s="19"/>
      <c r="N35" s="35"/>
      <c r="P35" s="22"/>
    </row>
    <row r="36" spans="2:16" ht="12.75" customHeight="1">
      <c r="B36" s="83"/>
      <c r="C36" s="3"/>
      <c r="D36" s="84"/>
      <c r="E36" s="22"/>
      <c r="F36" s="22"/>
      <c r="G36" s="22"/>
      <c r="H36" s="22"/>
      <c r="I36" s="22"/>
      <c r="J36" s="22"/>
      <c r="K36" s="22"/>
      <c r="L36" s="85"/>
      <c r="N36" s="35"/>
      <c r="P36" s="22"/>
    </row>
    <row r="37" spans="2:14" ht="12.75" customHeight="1">
      <c r="B37" s="83"/>
      <c r="C37" s="3"/>
      <c r="D37" s="84"/>
      <c r="E37" s="22"/>
      <c r="F37" s="22"/>
      <c r="G37" s="22"/>
      <c r="H37" s="22"/>
      <c r="I37" s="22"/>
      <c r="J37" s="22"/>
      <c r="K37" s="22"/>
      <c r="N37" s="35"/>
    </row>
    <row r="38" spans="1:14" ht="12.75" customHeight="1" thickBot="1">
      <c r="A38" s="86"/>
      <c r="B38" s="87" t="s">
        <v>140</v>
      </c>
      <c r="C38" s="88"/>
      <c r="D38" s="89"/>
      <c r="E38" s="226"/>
      <c r="F38" s="226"/>
      <c r="G38" s="226"/>
      <c r="H38" s="90"/>
      <c r="I38" s="22"/>
      <c r="J38" s="22"/>
      <c r="K38" s="22"/>
      <c r="N38" s="35"/>
    </row>
    <row r="39" spans="1:14" ht="12.75" customHeight="1">
      <c r="A39" s="86"/>
      <c r="B39" s="85" t="s">
        <v>141</v>
      </c>
      <c r="C39" s="91"/>
      <c r="D39" s="92"/>
      <c r="E39" s="227"/>
      <c r="F39" s="227"/>
      <c r="G39" s="85"/>
      <c r="H39" s="77"/>
      <c r="I39" s="22"/>
      <c r="J39" s="22"/>
      <c r="L39" s="77"/>
      <c r="N39" s="35"/>
    </row>
    <row r="40" spans="1:14" ht="12.75" customHeight="1">
      <c r="A40" s="93" t="s">
        <v>29</v>
      </c>
      <c r="B40" s="94" t="s">
        <v>270</v>
      </c>
      <c r="C40" s="91"/>
      <c r="D40" s="92"/>
      <c r="E40" s="227"/>
      <c r="F40" s="227"/>
      <c r="G40" s="85"/>
      <c r="H40" s="77"/>
      <c r="I40" s="22"/>
      <c r="J40" s="22"/>
      <c r="L40" s="77"/>
      <c r="N40" s="35"/>
    </row>
    <row r="41" spans="1:14" ht="12.75" customHeight="1">
      <c r="A41" s="93" t="s">
        <v>29</v>
      </c>
      <c r="B41" s="94" t="s">
        <v>269</v>
      </c>
      <c r="C41" s="95"/>
      <c r="E41" s="22"/>
      <c r="F41" s="22"/>
      <c r="G41" s="22"/>
      <c r="H41" s="22"/>
      <c r="I41" s="22"/>
      <c r="J41" s="22"/>
      <c r="K41" s="22"/>
      <c r="N41" s="35"/>
    </row>
    <row r="42" spans="1:14" ht="12.75" customHeight="1">
      <c r="A42" s="93" t="s">
        <v>57</v>
      </c>
      <c r="B42" s="94" t="s">
        <v>180</v>
      </c>
      <c r="C42" s="95"/>
      <c r="D42" s="86"/>
      <c r="E42" s="22"/>
      <c r="F42" s="22"/>
      <c r="G42" s="22"/>
      <c r="H42" s="22"/>
      <c r="I42" s="22"/>
      <c r="J42" s="22"/>
      <c r="K42" s="22"/>
      <c r="N42" s="35"/>
    </row>
    <row r="43" spans="1:14" ht="12.75" customHeight="1">
      <c r="A43" s="93" t="s">
        <v>58</v>
      </c>
      <c r="B43" s="94" t="s">
        <v>275</v>
      </c>
      <c r="C43" s="95"/>
      <c r="D43" s="86"/>
      <c r="E43" s="22"/>
      <c r="F43" s="22"/>
      <c r="G43" s="22"/>
      <c r="H43" s="22"/>
      <c r="I43" s="22"/>
      <c r="J43" s="22"/>
      <c r="K43" s="22"/>
      <c r="N43" s="35"/>
    </row>
    <row r="44" spans="1:14" ht="12.75" customHeight="1">
      <c r="A44" s="93" t="s">
        <v>34</v>
      </c>
      <c r="B44" s="94" t="s">
        <v>268</v>
      </c>
      <c r="D44" s="96"/>
      <c r="E44" s="97"/>
      <c r="F44" s="97"/>
      <c r="G44" s="22"/>
      <c r="H44" s="22"/>
      <c r="I44" s="22"/>
      <c r="J44" s="22"/>
      <c r="K44" s="22"/>
      <c r="N44" s="35"/>
    </row>
    <row r="45" spans="1:14" ht="12.75" customHeight="1">
      <c r="A45" s="93" t="s">
        <v>35</v>
      </c>
      <c r="B45" s="94" t="s">
        <v>267</v>
      </c>
      <c r="D45" s="96"/>
      <c r="E45" s="97"/>
      <c r="F45" s="97"/>
      <c r="G45" s="22"/>
      <c r="H45" s="22"/>
      <c r="I45" s="22"/>
      <c r="J45" s="22"/>
      <c r="K45" s="22"/>
      <c r="N45" s="35"/>
    </row>
    <row r="46" spans="1:14" ht="12.75" customHeight="1">
      <c r="A46" s="93" t="s">
        <v>35</v>
      </c>
      <c r="B46" s="3" t="s">
        <v>266</v>
      </c>
      <c r="D46" s="96"/>
      <c r="E46" s="97"/>
      <c r="F46" s="97"/>
      <c r="G46" s="22"/>
      <c r="H46" s="22"/>
      <c r="I46" s="22"/>
      <c r="J46" s="22"/>
      <c r="K46" s="22"/>
      <c r="N46" s="35"/>
    </row>
    <row r="47" spans="1:14" ht="12.75" customHeight="1">
      <c r="A47" s="93" t="s">
        <v>38</v>
      </c>
      <c r="B47" s="3" t="s">
        <v>265</v>
      </c>
      <c r="C47" s="97"/>
      <c r="D47" s="96"/>
      <c r="E47" s="97"/>
      <c r="F47" s="97"/>
      <c r="G47" s="22"/>
      <c r="H47" s="22"/>
      <c r="I47" s="22"/>
      <c r="J47" s="22"/>
      <c r="K47" s="22"/>
      <c r="N47" s="35"/>
    </row>
    <row r="48" spans="1:14" ht="12.75" customHeight="1">
      <c r="A48" s="93" t="s">
        <v>48</v>
      </c>
      <c r="B48" s="3" t="s">
        <v>264</v>
      </c>
      <c r="I48" s="22"/>
      <c r="J48" s="22"/>
      <c r="K48" s="22"/>
      <c r="N48" s="35"/>
    </row>
    <row r="49" spans="1:2" ht="12.75" customHeight="1">
      <c r="A49" s="93" t="s">
        <v>68</v>
      </c>
      <c r="B49" s="3" t="s">
        <v>211</v>
      </c>
    </row>
    <row r="50" spans="3:14" ht="12.75" customHeight="1">
      <c r="C50" s="3"/>
      <c r="D50" s="84"/>
      <c r="E50" s="22"/>
      <c r="F50" s="22"/>
      <c r="G50" s="22"/>
      <c r="H50" s="22"/>
      <c r="I50" s="22"/>
      <c r="J50" s="22"/>
      <c r="K50" s="22"/>
      <c r="N50" s="35"/>
    </row>
    <row r="51" spans="3:14" ht="12.75" customHeight="1">
      <c r="C51" s="3"/>
      <c r="D51" s="84"/>
      <c r="E51" s="22"/>
      <c r="F51" s="22"/>
      <c r="G51" s="22"/>
      <c r="N51" s="35"/>
    </row>
    <row r="52" spans="7:14" ht="12.75" customHeight="1">
      <c r="G52" s="98"/>
      <c r="I52" s="99"/>
      <c r="J52" s="99"/>
      <c r="K52" s="4" t="s">
        <v>116</v>
      </c>
      <c r="N52" s="35"/>
    </row>
    <row r="53" spans="2:14" ht="23.25" customHeight="1">
      <c r="B53" s="100"/>
      <c r="C53" s="101"/>
      <c r="D53" s="101"/>
      <c r="F53" s="5" t="s">
        <v>263</v>
      </c>
      <c r="H53" s="238"/>
      <c r="J53" s="339" t="str">
        <f>J1</f>
        <v>DONE</v>
      </c>
      <c r="L53" s="4"/>
      <c r="N53" s="58"/>
    </row>
    <row r="54" spans="5:14" s="86" customFormat="1" ht="13.5" customHeight="1">
      <c r="E54" s="28"/>
      <c r="F54" s="28"/>
      <c r="G54" s="28"/>
      <c r="H54" s="28"/>
      <c r="I54" s="28"/>
      <c r="J54" s="28"/>
      <c r="K54" s="28"/>
      <c r="N54" s="58"/>
    </row>
    <row r="55" spans="2:14" s="86" customFormat="1" ht="13.5" customHeight="1">
      <c r="B55" s="103"/>
      <c r="C55" s="104"/>
      <c r="D55" s="105"/>
      <c r="E55" s="162">
        <f aca="true" t="shared" si="3" ref="E55:J55">E26</f>
        <v>2012</v>
      </c>
      <c r="F55" s="162">
        <f t="shared" si="3"/>
        <v>2013</v>
      </c>
      <c r="G55" s="162">
        <f t="shared" si="3"/>
        <v>2014</v>
      </c>
      <c r="H55" s="162">
        <f t="shared" si="3"/>
        <v>2015</v>
      </c>
      <c r="I55" s="162">
        <f t="shared" si="3"/>
        <v>2016</v>
      </c>
      <c r="J55" s="162">
        <f t="shared" si="3"/>
        <v>2017</v>
      </c>
      <c r="K55" s="72"/>
      <c r="L55" s="106"/>
      <c r="M55" s="107" t="s">
        <v>60</v>
      </c>
      <c r="N55" s="31"/>
    </row>
    <row r="56" spans="2:14" s="86" customFormat="1" ht="13.5" customHeight="1" thickBot="1">
      <c r="B56" s="89" t="s">
        <v>149</v>
      </c>
      <c r="C56" s="184"/>
      <c r="D56" s="68"/>
      <c r="E56" s="171">
        <v>0</v>
      </c>
      <c r="F56" s="171">
        <v>1</v>
      </c>
      <c r="G56" s="171">
        <v>2</v>
      </c>
      <c r="H56" s="171">
        <v>3</v>
      </c>
      <c r="I56" s="171">
        <v>4</v>
      </c>
      <c r="J56" s="171">
        <v>5</v>
      </c>
      <c r="K56" s="72"/>
      <c r="L56" s="72"/>
      <c r="M56" s="6" t="s">
        <v>22</v>
      </c>
      <c r="N56" s="6" t="s">
        <v>62</v>
      </c>
    </row>
    <row r="57" spans="2:14" s="86" customFormat="1" ht="13.5" customHeight="1">
      <c r="B57" s="23" t="s">
        <v>150</v>
      </c>
      <c r="C57" s="108"/>
      <c r="D57" s="17" t="s">
        <v>29</v>
      </c>
      <c r="E57" s="19">
        <f>-E29</f>
        <v>-200</v>
      </c>
      <c r="F57" s="18">
        <f>E29-F29</f>
        <v>-40</v>
      </c>
      <c r="G57" s="18">
        <f>F29-G29</f>
        <v>37.599999999999994</v>
      </c>
      <c r="H57" s="18">
        <f>G29-H29</f>
        <v>37.52799999999999</v>
      </c>
      <c r="I57" s="18">
        <f>H29-I29</f>
        <v>37.453840000000014</v>
      </c>
      <c r="J57" s="18">
        <f>I29-J29</f>
        <v>127.41816</v>
      </c>
      <c r="K57" s="19"/>
      <c r="L57" s="109"/>
      <c r="M57" s="110">
        <v>0.2</v>
      </c>
      <c r="N57" s="110">
        <v>0</v>
      </c>
    </row>
    <row r="58" spans="2:14" s="86" customFormat="1" ht="13.5" customHeight="1">
      <c r="B58" s="170" t="s">
        <v>89</v>
      </c>
      <c r="C58" s="108"/>
      <c r="D58" s="17"/>
      <c r="E58" s="79"/>
      <c r="F58" s="172">
        <f>F10</f>
        <v>40</v>
      </c>
      <c r="G58" s="172">
        <f>G10</f>
        <v>38.28</v>
      </c>
      <c r="H58" s="172">
        <f>H10</f>
        <v>36.3848</v>
      </c>
      <c r="I58" s="172">
        <f>I10</f>
        <v>34.305435999999986</v>
      </c>
      <c r="J58" s="172">
        <f>J10</f>
        <v>32.03256383999998</v>
      </c>
      <c r="K58" s="19"/>
      <c r="L58" s="109"/>
      <c r="M58" s="95" t="s">
        <v>15</v>
      </c>
      <c r="N58" s="111">
        <f>J10</f>
        <v>32.03256383999998</v>
      </c>
    </row>
    <row r="59" spans="2:14" s="86" customFormat="1" ht="13.5" customHeight="1">
      <c r="B59" s="113" t="s">
        <v>151</v>
      </c>
      <c r="C59" s="108"/>
      <c r="D59" s="17"/>
      <c r="E59" s="82">
        <f aca="true" t="shared" si="4" ref="E59:J59">E57+E58</f>
        <v>-200</v>
      </c>
      <c r="F59" s="82">
        <f t="shared" si="4"/>
        <v>0</v>
      </c>
      <c r="G59" s="82">
        <f t="shared" si="4"/>
        <v>75.88</v>
      </c>
      <c r="H59" s="82">
        <f t="shared" si="4"/>
        <v>73.91279999999999</v>
      </c>
      <c r="I59" s="82">
        <f t="shared" si="4"/>
        <v>71.759276</v>
      </c>
      <c r="J59" s="82">
        <f t="shared" si="4"/>
        <v>159.45072383999997</v>
      </c>
      <c r="K59" s="106"/>
      <c r="L59" s="104"/>
      <c r="M59" s="4" t="s">
        <v>114</v>
      </c>
      <c r="N59" s="112">
        <f>N58/(M57-N57)</f>
        <v>160.1628191999999</v>
      </c>
    </row>
    <row r="60" spans="2:16" s="86" customFormat="1" ht="21" customHeight="1">
      <c r="B60" s="113" t="s">
        <v>152</v>
      </c>
      <c r="C60" s="108"/>
      <c r="D60" s="58"/>
      <c r="E60" s="175">
        <f>E57+E58*(1-$C$13)</f>
        <v>-200</v>
      </c>
      <c r="F60" s="175">
        <f>F57+F58*(1-$C$13)</f>
        <v>-12</v>
      </c>
      <c r="G60" s="175">
        <f>G57+G58*(1-$C$13)</f>
        <v>64.39599999999999</v>
      </c>
      <c r="H60" s="175">
        <f>H57+H58*0.7</f>
        <v>62.997359999999986</v>
      </c>
      <c r="I60" s="175">
        <f>I57+I58*0.7</f>
        <v>61.46764520000001</v>
      </c>
      <c r="J60" s="175">
        <f>J57+J58*0.7</f>
        <v>149.84095468799998</v>
      </c>
      <c r="K60" s="106"/>
      <c r="L60" s="104"/>
      <c r="M60" s="58"/>
      <c r="N60" s="3"/>
      <c r="O60" s="4"/>
      <c r="P60" s="112"/>
    </row>
    <row r="61" spans="2:15" s="86" customFormat="1" ht="13.5" customHeight="1">
      <c r="B61" s="68"/>
      <c r="C61" s="108"/>
      <c r="D61" s="58"/>
      <c r="E61" s="232"/>
      <c r="F61" s="232"/>
      <c r="G61" s="18"/>
      <c r="H61" s="18"/>
      <c r="I61" s="18"/>
      <c r="J61" s="18"/>
      <c r="K61" s="18"/>
      <c r="L61" s="104"/>
      <c r="M61" s="58"/>
      <c r="N61" s="3"/>
      <c r="O61" s="3"/>
    </row>
    <row r="62" spans="2:15" s="86" customFormat="1" ht="13.5" customHeight="1">
      <c r="B62" s="72" t="s">
        <v>262</v>
      </c>
      <c r="C62" s="78" t="s">
        <v>196</v>
      </c>
      <c r="D62" s="115">
        <v>0.15</v>
      </c>
      <c r="F62" s="232" t="s">
        <v>153</v>
      </c>
      <c r="G62" s="234">
        <f>NPV(D62,F59:J59)</f>
        <v>226.2788365331059</v>
      </c>
      <c r="H62" s="81" t="s">
        <v>154</v>
      </c>
      <c r="I62" s="233">
        <f>IRR(E59:J59)</f>
        <v>0.19007753961316182</v>
      </c>
      <c r="J62" s="81" t="s">
        <v>155</v>
      </c>
      <c r="K62" s="118">
        <f>G62+E59</f>
        <v>26.278836533105903</v>
      </c>
      <c r="L62" s="104"/>
      <c r="M62" s="119"/>
      <c r="N62" s="3"/>
      <c r="O62" s="3"/>
    </row>
    <row r="63" spans="2:15" s="86" customFormat="1" ht="13.5" customHeight="1">
      <c r="B63" s="72" t="s">
        <v>152</v>
      </c>
      <c r="C63" s="78" t="s">
        <v>196</v>
      </c>
      <c r="D63" s="115">
        <f>D62*(1-C13)</f>
        <v>0.105</v>
      </c>
      <c r="E63" s="232"/>
      <c r="F63" s="232" t="s">
        <v>153</v>
      </c>
      <c r="G63" s="234">
        <f>NPV(D63,F60:J60)</f>
        <v>220.75275581505934</v>
      </c>
      <c r="H63" s="81" t="s">
        <v>154</v>
      </c>
      <c r="I63" s="280">
        <f>IRR(E60:J60)</f>
        <v>0.13365720085884822</v>
      </c>
      <c r="J63" s="81" t="s">
        <v>155</v>
      </c>
      <c r="K63" s="118">
        <f>G63+E60</f>
        <v>20.752755815059345</v>
      </c>
      <c r="L63" s="104"/>
      <c r="M63" s="58"/>
      <c r="N63" s="3"/>
      <c r="O63" s="3"/>
    </row>
    <row r="64" spans="11:15" s="86" customFormat="1" ht="13.5" customHeight="1">
      <c r="K64" s="18"/>
      <c r="L64" s="104"/>
      <c r="M64" s="58"/>
      <c r="N64" s="3"/>
      <c r="O64" s="3"/>
    </row>
    <row r="65" spans="2:15" s="86" customFormat="1" ht="13.5" customHeight="1">
      <c r="B65" s="120"/>
      <c r="C65" s="17"/>
      <c r="D65" s="3"/>
      <c r="E65" s="121"/>
      <c r="F65" s="121"/>
      <c r="G65" s="122"/>
      <c r="H65" s="68"/>
      <c r="I65" s="106"/>
      <c r="J65" s="122"/>
      <c r="K65" s="18"/>
      <c r="L65" s="104"/>
      <c r="M65" s="58"/>
      <c r="N65" s="3"/>
      <c r="O65" s="3"/>
    </row>
    <row r="66" spans="2:14" ht="13.5" customHeight="1" thickBot="1">
      <c r="B66" s="89" t="s">
        <v>156</v>
      </c>
      <c r="C66" s="184"/>
      <c r="D66" s="68"/>
      <c r="E66" s="171">
        <f aca="true" t="shared" si="5" ref="E66:J67">E56</f>
        <v>0</v>
      </c>
      <c r="F66" s="171">
        <f t="shared" si="5"/>
        <v>1</v>
      </c>
      <c r="G66" s="171">
        <f t="shared" si="5"/>
        <v>2</v>
      </c>
      <c r="H66" s="171">
        <f t="shared" si="5"/>
        <v>3</v>
      </c>
      <c r="I66" s="171">
        <f t="shared" si="5"/>
        <v>4</v>
      </c>
      <c r="J66" s="171">
        <f t="shared" si="5"/>
        <v>5</v>
      </c>
      <c r="K66" s="72"/>
      <c r="L66" s="72"/>
      <c r="M66" s="107" t="s">
        <v>60</v>
      </c>
      <c r="N66" s="31"/>
    </row>
    <row r="67" spans="2:14" ht="13.5" customHeight="1">
      <c r="B67" s="23" t="s">
        <v>150</v>
      </c>
      <c r="C67" s="108"/>
      <c r="D67" s="17" t="s">
        <v>29</v>
      </c>
      <c r="E67" s="19">
        <f t="shared" si="5"/>
        <v>-200</v>
      </c>
      <c r="F67" s="19">
        <f t="shared" si="5"/>
        <v>-40</v>
      </c>
      <c r="G67" s="19">
        <f t="shared" si="5"/>
        <v>37.599999999999994</v>
      </c>
      <c r="H67" s="19">
        <f t="shared" si="5"/>
        <v>37.52799999999999</v>
      </c>
      <c r="I67" s="19">
        <f t="shared" si="5"/>
        <v>37.453840000000014</v>
      </c>
      <c r="J67" s="19">
        <f t="shared" si="5"/>
        <v>127.41816</v>
      </c>
      <c r="L67" s="109"/>
      <c r="M67" s="6" t="s">
        <v>22</v>
      </c>
      <c r="N67" s="6" t="s">
        <v>62</v>
      </c>
    </row>
    <row r="68" spans="2:16" ht="13.5" customHeight="1">
      <c r="B68" s="23" t="s">
        <v>157</v>
      </c>
      <c r="C68" s="108"/>
      <c r="D68" s="17" t="s">
        <v>31</v>
      </c>
      <c r="E68" s="19">
        <f>E31</f>
        <v>150</v>
      </c>
      <c r="F68" s="38">
        <f>F31-E31</f>
        <v>0</v>
      </c>
      <c r="G68" s="38">
        <f>G31-F31</f>
        <v>0</v>
      </c>
      <c r="H68" s="38">
        <f>H31-G31</f>
        <v>0</v>
      </c>
      <c r="I68" s="38">
        <f>I31-H31</f>
        <v>0</v>
      </c>
      <c r="J68" s="38">
        <f>J31-I31</f>
        <v>-150</v>
      </c>
      <c r="L68" s="109"/>
      <c r="M68" s="110">
        <v>0.2</v>
      </c>
      <c r="N68" s="110">
        <v>0</v>
      </c>
      <c r="P68" s="111"/>
    </row>
    <row r="69" spans="2:14" ht="13.5" customHeight="1">
      <c r="B69" s="170" t="s">
        <v>158</v>
      </c>
      <c r="C69" s="108"/>
      <c r="D69" s="17"/>
      <c r="E69" s="49">
        <f aca="true" t="shared" si="6" ref="E69:J69">E14</f>
        <v>0</v>
      </c>
      <c r="F69" s="49">
        <f t="shared" si="6"/>
        <v>21.700000000000003</v>
      </c>
      <c r="G69" s="49">
        <f t="shared" si="6"/>
        <v>20.496000000000002</v>
      </c>
      <c r="H69" s="49">
        <f t="shared" si="6"/>
        <v>19.169359999999998</v>
      </c>
      <c r="I69" s="49">
        <f t="shared" si="6"/>
        <v>17.71380519999999</v>
      </c>
      <c r="J69" s="49">
        <f t="shared" si="6"/>
        <v>16.122794687999985</v>
      </c>
      <c r="L69" s="109"/>
      <c r="M69" s="95" t="s">
        <v>64</v>
      </c>
      <c r="N69" s="111">
        <f>J14</f>
        <v>16.122794687999985</v>
      </c>
    </row>
    <row r="70" spans="2:14" ht="13.5" customHeight="1">
      <c r="B70" s="113" t="s">
        <v>159</v>
      </c>
      <c r="C70" s="108"/>
      <c r="D70" s="17" t="s">
        <v>33</v>
      </c>
      <c r="E70" s="81">
        <f aca="true" t="shared" si="7" ref="E70:J70">SUM(E67:E69)</f>
        <v>-50</v>
      </c>
      <c r="F70" s="81">
        <f t="shared" si="7"/>
        <v>-18.299999999999997</v>
      </c>
      <c r="G70" s="81">
        <f t="shared" si="7"/>
        <v>58.096</v>
      </c>
      <c r="H70" s="81">
        <f t="shared" si="7"/>
        <v>56.69735999999999</v>
      </c>
      <c r="I70" s="81">
        <f t="shared" si="7"/>
        <v>55.1676452</v>
      </c>
      <c r="J70" s="81">
        <f t="shared" si="7"/>
        <v>-6.459045312000015</v>
      </c>
      <c r="L70" s="104"/>
      <c r="M70" s="4" t="s">
        <v>114</v>
      </c>
      <c r="N70" s="112">
        <f>N69/(M68-N68)</f>
        <v>80.61397343999992</v>
      </c>
    </row>
    <row r="71" spans="2:13" ht="13.5" customHeight="1">
      <c r="B71" s="68"/>
      <c r="C71" s="108"/>
      <c r="D71" s="58"/>
      <c r="E71" s="232"/>
      <c r="F71" s="232"/>
      <c r="G71" s="18"/>
      <c r="H71" s="18"/>
      <c r="I71" s="18"/>
      <c r="J71" s="18"/>
      <c r="K71" s="18"/>
      <c r="L71" s="104"/>
      <c r="M71" s="58"/>
    </row>
    <row r="72" spans="2:13" ht="13.5" customHeight="1">
      <c r="B72" s="72" t="s">
        <v>261</v>
      </c>
      <c r="C72" s="78" t="s">
        <v>198</v>
      </c>
      <c r="D72" s="115">
        <v>0.15</v>
      </c>
      <c r="F72" s="232" t="s">
        <v>153</v>
      </c>
      <c r="G72" s="234">
        <f>NPV(D72,F70:J70)</f>
        <v>93.6263066865144</v>
      </c>
      <c r="H72" s="81" t="s">
        <v>154</v>
      </c>
      <c r="I72" s="233">
        <f>IRR(E70:J70)</f>
        <v>0.4034491594636785</v>
      </c>
      <c r="J72" s="81" t="s">
        <v>155</v>
      </c>
      <c r="K72" s="118">
        <f>G72+E70</f>
        <v>43.6263066865144</v>
      </c>
      <c r="L72" s="104"/>
      <c r="M72" s="119"/>
    </row>
    <row r="73" spans="2:13" ht="13.5" customHeight="1">
      <c r="B73" s="68"/>
      <c r="C73" s="108"/>
      <c r="D73" s="58"/>
      <c r="E73" s="232"/>
      <c r="F73" s="232"/>
      <c r="G73" s="18"/>
      <c r="H73" s="18"/>
      <c r="I73" s="18"/>
      <c r="J73" s="18"/>
      <c r="K73" s="18"/>
      <c r="L73" s="104"/>
      <c r="M73" s="58"/>
    </row>
    <row r="75" spans="2:12" ht="13.5" customHeight="1" thickBot="1">
      <c r="B75" s="89" t="s">
        <v>160</v>
      </c>
      <c r="C75" s="184"/>
      <c r="D75" s="185"/>
      <c r="E75" s="231"/>
      <c r="F75" s="230"/>
      <c r="G75" s="58"/>
      <c r="L75" s="68"/>
    </row>
    <row r="76" spans="3:12" ht="13.5" customHeight="1">
      <c r="C76" s="3"/>
      <c r="F76" s="230"/>
      <c r="G76" s="58"/>
      <c r="L76" s="68"/>
    </row>
    <row r="77" spans="2:12" ht="13.5" customHeight="1">
      <c r="B77" s="204"/>
      <c r="C77" s="205" t="s">
        <v>162</v>
      </c>
      <c r="D77" s="206"/>
      <c r="E77" s="229"/>
      <c r="F77" s="122"/>
      <c r="L77" s="68"/>
    </row>
    <row r="78" spans="2:12" ht="13.5" customHeight="1">
      <c r="B78" s="272" t="s">
        <v>260</v>
      </c>
      <c r="C78" s="187">
        <v>300</v>
      </c>
      <c r="D78" s="187">
        <v>400</v>
      </c>
      <c r="E78" s="188">
        <v>500</v>
      </c>
      <c r="F78" s="42"/>
      <c r="G78" s="204"/>
      <c r="H78" s="208"/>
      <c r="I78" s="209" t="s">
        <v>259</v>
      </c>
      <c r="J78" s="210"/>
      <c r="L78" s="68"/>
    </row>
    <row r="79" spans="2:12" ht="13.5" customHeight="1">
      <c r="B79" s="277" t="s">
        <v>205</v>
      </c>
      <c r="C79" s="128">
        <v>0.07</v>
      </c>
      <c r="D79" s="128">
        <v>0.19</v>
      </c>
      <c r="E79" s="129">
        <v>0.29</v>
      </c>
      <c r="F79" s="128"/>
      <c r="G79" s="197" t="s">
        <v>167</v>
      </c>
      <c r="H79" s="50"/>
      <c r="I79" s="124" t="s">
        <v>8</v>
      </c>
      <c r="J79" s="195" t="s">
        <v>23</v>
      </c>
      <c r="L79" s="68"/>
    </row>
    <row r="80" spans="2:12" ht="13.5" customHeight="1">
      <c r="B80" s="189" t="s">
        <v>206</v>
      </c>
      <c r="C80" s="181">
        <v>152</v>
      </c>
      <c r="D80" s="181">
        <v>226</v>
      </c>
      <c r="E80" s="190">
        <v>301</v>
      </c>
      <c r="F80" s="128"/>
      <c r="G80" s="131" t="s">
        <v>190</v>
      </c>
      <c r="H80" s="42"/>
      <c r="I80" s="125" t="s">
        <v>10</v>
      </c>
      <c r="J80" s="196">
        <v>22</v>
      </c>
      <c r="L80" s="68"/>
    </row>
    <row r="81" spans="2:10" ht="13.5" customHeight="1">
      <c r="B81" s="189" t="s">
        <v>207</v>
      </c>
      <c r="C81" s="128">
        <v>0.09</v>
      </c>
      <c r="D81" s="128">
        <v>0.4</v>
      </c>
      <c r="E81" s="129">
        <v>0.58</v>
      </c>
      <c r="F81" s="128"/>
      <c r="G81" s="131" t="s">
        <v>191</v>
      </c>
      <c r="H81" s="42"/>
      <c r="I81" s="125">
        <v>0.4</v>
      </c>
      <c r="J81" s="196">
        <v>94</v>
      </c>
    </row>
    <row r="82" spans="2:16" ht="13.5" customHeight="1">
      <c r="B82" s="189" t="s">
        <v>208</v>
      </c>
      <c r="C82" s="42">
        <v>44</v>
      </c>
      <c r="D82" s="42">
        <v>94</v>
      </c>
      <c r="E82" s="221">
        <v>143</v>
      </c>
      <c r="F82" s="128"/>
      <c r="G82" s="197" t="s">
        <v>192</v>
      </c>
      <c r="H82" s="133"/>
      <c r="I82" s="198">
        <v>0.68</v>
      </c>
      <c r="J82" s="199">
        <v>183</v>
      </c>
      <c r="O82" s="130"/>
      <c r="P82" s="130"/>
    </row>
    <row r="83" spans="2:16" ht="13.5" customHeight="1">
      <c r="B83" s="272" t="s">
        <v>276</v>
      </c>
      <c r="C83" s="273">
        <v>0</v>
      </c>
      <c r="D83" s="273">
        <v>0.03</v>
      </c>
      <c r="E83" s="274">
        <v>0.06</v>
      </c>
      <c r="O83" s="130"/>
      <c r="P83" s="130"/>
    </row>
    <row r="84" spans="2:16" ht="13.5" customHeight="1">
      <c r="B84" s="277" t="s">
        <v>205</v>
      </c>
      <c r="C84" s="128">
        <v>0.17</v>
      </c>
      <c r="D84" s="128">
        <v>0.19</v>
      </c>
      <c r="E84" s="129">
        <v>0.21</v>
      </c>
      <c r="O84" s="130"/>
      <c r="P84" s="130"/>
    </row>
    <row r="85" spans="2:11" ht="13.5" customHeight="1">
      <c r="B85" s="189" t="s">
        <v>206</v>
      </c>
      <c r="C85" s="181">
        <v>212</v>
      </c>
      <c r="D85" s="181">
        <v>226</v>
      </c>
      <c r="E85" s="190">
        <v>242</v>
      </c>
      <c r="G85" s="200"/>
      <c r="H85" s="201"/>
      <c r="I85" s="202" t="s">
        <v>169</v>
      </c>
      <c r="J85" s="203"/>
      <c r="K85" s="14"/>
    </row>
    <row r="86" spans="2:11" ht="13.5" customHeight="1">
      <c r="B86" s="189" t="s">
        <v>207</v>
      </c>
      <c r="C86" s="128">
        <v>0.37</v>
      </c>
      <c r="D86" s="128">
        <v>0.4</v>
      </c>
      <c r="E86" s="129">
        <v>0.44</v>
      </c>
      <c r="G86" s="212"/>
      <c r="H86" s="213"/>
      <c r="I86" s="214" t="s">
        <v>184</v>
      </c>
      <c r="J86" s="215"/>
      <c r="K86" s="14"/>
    </row>
    <row r="87" spans="2:10" ht="13.5" customHeight="1">
      <c r="B87" s="189" t="s">
        <v>208</v>
      </c>
      <c r="C87" s="42">
        <v>84</v>
      </c>
      <c r="D87" s="42">
        <v>94</v>
      </c>
      <c r="E87" s="221">
        <v>104</v>
      </c>
      <c r="F87" s="58"/>
      <c r="G87" s="216" t="s">
        <v>19</v>
      </c>
      <c r="H87" s="127"/>
      <c r="I87" s="132" t="s">
        <v>8</v>
      </c>
      <c r="J87" s="217" t="s">
        <v>21</v>
      </c>
    </row>
    <row r="88" spans="2:13" ht="13.5" customHeight="1">
      <c r="B88" s="272" t="s">
        <v>258</v>
      </c>
      <c r="C88" s="275">
        <v>-0.02</v>
      </c>
      <c r="D88" s="275">
        <v>-0.01</v>
      </c>
      <c r="E88" s="276">
        <v>0</v>
      </c>
      <c r="F88" s="58"/>
      <c r="G88" s="218" t="s">
        <v>257</v>
      </c>
      <c r="H88" s="126"/>
      <c r="I88" s="125">
        <v>0.17</v>
      </c>
      <c r="J88" s="219">
        <v>7</v>
      </c>
      <c r="M88" s="85"/>
    </row>
    <row r="89" spans="2:13" ht="13.5" customHeight="1">
      <c r="B89" s="277" t="s">
        <v>205</v>
      </c>
      <c r="C89" s="128">
        <v>0.15</v>
      </c>
      <c r="D89" s="128">
        <v>0.19</v>
      </c>
      <c r="E89" s="129">
        <v>0.23</v>
      </c>
      <c r="F89" s="58"/>
      <c r="G89" s="218" t="s">
        <v>256</v>
      </c>
      <c r="H89" s="135"/>
      <c r="I89" s="125">
        <v>0.23</v>
      </c>
      <c r="J89" s="219">
        <v>26</v>
      </c>
      <c r="M89" s="85"/>
    </row>
    <row r="90" spans="2:13" ht="13.5" customHeight="1">
      <c r="B90" s="189" t="s">
        <v>206</v>
      </c>
      <c r="C90" s="181">
        <v>201</v>
      </c>
      <c r="D90" s="181">
        <v>226</v>
      </c>
      <c r="E90" s="190">
        <v>251</v>
      </c>
      <c r="F90" s="58"/>
      <c r="G90" s="218" t="s">
        <v>255</v>
      </c>
      <c r="H90" s="126"/>
      <c r="I90" s="125">
        <v>0.4</v>
      </c>
      <c r="J90" s="219">
        <v>44</v>
      </c>
      <c r="M90" s="85"/>
    </row>
    <row r="91" spans="2:13" ht="13.5" customHeight="1">
      <c r="B91" s="189" t="s">
        <v>207</v>
      </c>
      <c r="C91" s="128">
        <v>0.32</v>
      </c>
      <c r="D91" s="128">
        <v>0.4</v>
      </c>
      <c r="E91" s="129">
        <v>0.47</v>
      </c>
      <c r="F91" s="42"/>
      <c r="G91" s="211"/>
      <c r="H91" s="193"/>
      <c r="I91" s="193"/>
      <c r="J91" s="194"/>
      <c r="M91" s="85"/>
    </row>
    <row r="92" spans="2:13" ht="13.5" customHeight="1">
      <c r="B92" s="189" t="s">
        <v>208</v>
      </c>
      <c r="C92" s="50">
        <v>76</v>
      </c>
      <c r="D92" s="42">
        <v>94</v>
      </c>
      <c r="E92" s="223">
        <v>111</v>
      </c>
      <c r="F92" s="42"/>
      <c r="M92" s="85"/>
    </row>
    <row r="93" spans="2:13" ht="13.5" customHeight="1">
      <c r="B93" s="272" t="s">
        <v>127</v>
      </c>
      <c r="C93" s="275">
        <v>0.06</v>
      </c>
      <c r="D93" s="275">
        <v>0.03</v>
      </c>
      <c r="E93" s="276">
        <v>0</v>
      </c>
      <c r="F93" s="42"/>
      <c r="M93" s="85"/>
    </row>
    <row r="94" spans="2:13" ht="13.5" customHeight="1">
      <c r="B94" s="277" t="s">
        <v>205</v>
      </c>
      <c r="C94" s="128">
        <v>0.18</v>
      </c>
      <c r="D94" s="128">
        <v>0.19</v>
      </c>
      <c r="E94" s="129">
        <v>0.2</v>
      </c>
      <c r="F94" s="42"/>
      <c r="M94" s="85"/>
    </row>
    <row r="95" spans="2:13" ht="13.5" customHeight="1">
      <c r="B95" s="189" t="s">
        <v>206</v>
      </c>
      <c r="C95" s="181">
        <v>223</v>
      </c>
      <c r="D95" s="181">
        <v>226</v>
      </c>
      <c r="E95" s="190">
        <v>230</v>
      </c>
      <c r="F95" s="42"/>
      <c r="M95" s="85"/>
    </row>
    <row r="96" spans="2:13" ht="13.5" customHeight="1">
      <c r="B96" s="189" t="s">
        <v>207</v>
      </c>
      <c r="C96" s="128">
        <v>0.39</v>
      </c>
      <c r="D96" s="128">
        <v>0.4</v>
      </c>
      <c r="E96" s="129">
        <v>0.41</v>
      </c>
      <c r="F96" s="42"/>
      <c r="M96" s="85"/>
    </row>
    <row r="97" spans="2:13" ht="13.5" customHeight="1">
      <c r="B97" s="222" t="s">
        <v>208</v>
      </c>
      <c r="C97" s="50">
        <v>91</v>
      </c>
      <c r="D97" s="50">
        <v>94</v>
      </c>
      <c r="E97" s="223">
        <v>96</v>
      </c>
      <c r="F97" s="42"/>
      <c r="M97" s="85"/>
    </row>
    <row r="98" spans="2:13" ht="13.5" customHeight="1">
      <c r="B98" s="42"/>
      <c r="C98" s="42"/>
      <c r="D98" s="42"/>
      <c r="E98" s="42"/>
      <c r="F98" s="42"/>
      <c r="G98" s="58"/>
      <c r="H98" s="128"/>
      <c r="I98" s="126"/>
      <c r="J98" s="125"/>
      <c r="K98" s="134"/>
      <c r="M98" s="85"/>
    </row>
    <row r="100" spans="2:8" ht="13.5" customHeight="1" thickBot="1">
      <c r="B100" s="87" t="s">
        <v>185</v>
      </c>
      <c r="C100" s="88"/>
      <c r="D100" s="89"/>
      <c r="E100" s="226"/>
      <c r="F100" s="226"/>
      <c r="G100" s="226"/>
      <c r="H100" s="77"/>
    </row>
    <row r="101" spans="1:3" ht="13.5" customHeight="1">
      <c r="A101" s="84" t="s">
        <v>29</v>
      </c>
      <c r="B101" s="3" t="s">
        <v>254</v>
      </c>
      <c r="C101" s="3"/>
    </row>
    <row r="102" spans="1:3" ht="13.5" customHeight="1">
      <c r="A102" s="84" t="s">
        <v>31</v>
      </c>
      <c r="B102" s="3" t="s">
        <v>253</v>
      </c>
      <c r="C102" s="3"/>
    </row>
    <row r="103" spans="1:3" ht="13.5" customHeight="1">
      <c r="A103" s="84" t="s">
        <v>33</v>
      </c>
      <c r="B103" s="14" t="s">
        <v>252</v>
      </c>
      <c r="C103" s="3"/>
    </row>
    <row r="104" spans="1:13" ht="13.5" customHeight="1">
      <c r="A104" s="84" t="s">
        <v>34</v>
      </c>
      <c r="B104" s="220" t="s">
        <v>251</v>
      </c>
      <c r="M104" s="14"/>
    </row>
    <row r="105" spans="1:13" ht="13.5" customHeight="1">
      <c r="A105" s="14"/>
      <c r="B105" s="14" t="s">
        <v>250</v>
      </c>
      <c r="C105" s="41"/>
      <c r="D105" s="14"/>
      <c r="E105" s="14"/>
      <c r="F105" s="14"/>
      <c r="G105" s="14"/>
      <c r="H105" s="14"/>
      <c r="I105" s="14"/>
      <c r="J105" s="136"/>
      <c r="K105" s="136"/>
      <c r="L105" s="14"/>
      <c r="M105" s="14"/>
    </row>
    <row r="106" spans="1:13" ht="13.5" customHeight="1">
      <c r="A106" s="84" t="s">
        <v>35</v>
      </c>
      <c r="B106" s="14" t="s">
        <v>219</v>
      </c>
      <c r="C106" s="41"/>
      <c r="D106" s="14"/>
      <c r="E106" s="14"/>
      <c r="F106" s="14"/>
      <c r="G106" s="14"/>
      <c r="H106" s="14"/>
      <c r="I106" s="14"/>
      <c r="J106" s="136"/>
      <c r="K106" s="136"/>
      <c r="L106" s="14"/>
      <c r="M106" s="14"/>
    </row>
    <row r="107" spans="1:13" ht="13.5" customHeight="1">
      <c r="A107" s="84" t="s">
        <v>38</v>
      </c>
      <c r="B107" s="14" t="s">
        <v>249</v>
      </c>
      <c r="C107" s="41"/>
      <c r="D107" s="14"/>
      <c r="E107" s="14"/>
      <c r="F107" s="14"/>
      <c r="G107" s="14"/>
      <c r="H107" s="14"/>
      <c r="I107" s="14"/>
      <c r="J107" s="136"/>
      <c r="K107" s="136"/>
      <c r="L107" s="14"/>
      <c r="M107" s="14"/>
    </row>
    <row r="108" spans="3:11" s="14" customFormat="1" ht="13.5" customHeight="1">
      <c r="C108" s="41"/>
      <c r="J108" s="136"/>
      <c r="K108" s="41" t="str">
        <f>K52</f>
        <v>© E.M. Abascal. Sept 2011</v>
      </c>
    </row>
    <row r="109" s="14" customFormat="1" ht="13.5" customHeight="1">
      <c r="J109" s="136"/>
    </row>
    <row r="110" spans="1:15" s="14" customFormat="1" ht="13.5" customHeight="1">
      <c r="A110" s="84"/>
      <c r="C110" s="41"/>
      <c r="J110" s="136"/>
      <c r="K110" s="136"/>
      <c r="O110" s="137"/>
    </row>
    <row r="111" spans="1:11" s="14" customFormat="1" ht="13.5" customHeight="1">
      <c r="A111" s="84"/>
      <c r="C111" s="41"/>
      <c r="J111" s="136"/>
      <c r="K111" s="136"/>
    </row>
    <row r="112" spans="1:2" s="14" customFormat="1" ht="13.5" customHeight="1">
      <c r="A112" s="138"/>
      <c r="B112" s="220"/>
    </row>
    <row r="113" s="14" customFormat="1" ht="13.5" customHeight="1"/>
    <row r="114" s="14" customFormat="1" ht="13.5" customHeight="1">
      <c r="B114" s="3"/>
    </row>
    <row r="115" spans="3:11" s="14" customFormat="1" ht="13.5" customHeight="1">
      <c r="C115" s="41"/>
      <c r="J115" s="136"/>
      <c r="K115" s="136"/>
    </row>
    <row r="116" spans="1:7" s="14" customFormat="1" ht="13.5" customHeight="1">
      <c r="A116" s="136"/>
      <c r="B116" s="136"/>
      <c r="C116" s="228"/>
      <c r="D116" s="136"/>
      <c r="E116" s="136"/>
      <c r="F116" s="136"/>
      <c r="G116" s="3"/>
    </row>
    <row r="117" spans="2:7" s="14" customFormat="1" ht="13.5" customHeight="1">
      <c r="B117" s="3"/>
      <c r="C117" s="4"/>
      <c r="D117" s="3"/>
      <c r="E117" s="3"/>
      <c r="F117" s="3"/>
      <c r="G117" s="3"/>
    </row>
    <row r="118" spans="2:7" s="14" customFormat="1" ht="13.5" customHeight="1">
      <c r="B118" s="3"/>
      <c r="C118" s="4"/>
      <c r="D118" s="3"/>
      <c r="E118" s="3"/>
      <c r="F118" s="3"/>
      <c r="G118" s="3"/>
    </row>
    <row r="119" s="14" customFormat="1" ht="13.5" customHeight="1">
      <c r="G119" s="3"/>
    </row>
    <row r="120" s="140" customFormat="1" ht="13.5" customHeight="1">
      <c r="G120" s="139"/>
    </row>
    <row r="121" s="14" customFormat="1" ht="13.5" customHeight="1"/>
    <row r="122" s="14" customFormat="1" ht="13.5" customHeight="1"/>
    <row r="123" s="14" customFormat="1" ht="13.5" customHeight="1"/>
    <row r="124" s="14" customFormat="1" ht="13.5" customHeight="1">
      <c r="G124" s="3"/>
    </row>
    <row r="125" s="14" customFormat="1" ht="13.5" customHeight="1">
      <c r="C125" s="41"/>
    </row>
    <row r="126" s="14" customFormat="1" ht="13.5" customHeight="1">
      <c r="C126" s="41"/>
    </row>
    <row r="128" spans="12:14" ht="13.5" customHeight="1">
      <c r="L128" s="136"/>
      <c r="M128" s="136"/>
      <c r="N128" s="136"/>
    </row>
  </sheetData>
  <sheetProtection/>
  <printOptions headings="1"/>
  <pageMargins left="0.7480314960629921" right="0.2362204724409449" top="0.6299212598425197" bottom="0.6299212598425197" header="0.5118110236220472" footer="0.5118110236220472"/>
  <pageSetup horizontalDpi="1200" verticalDpi="1200" orientation="portrait" paperSize="9" scale="85" r:id="rId3"/>
  <rowBreaks count="1" manualBreakCount="1">
    <brk id="52" max="10" man="1"/>
  </rowBreaks>
  <legacyDrawing r:id="rId2"/>
</worksheet>
</file>

<file path=xl/worksheets/sheet6.xml><?xml version="1.0" encoding="utf-8"?>
<worksheet xmlns="http://schemas.openxmlformats.org/spreadsheetml/2006/main" xmlns:r="http://schemas.openxmlformats.org/officeDocument/2006/relationships">
  <dimension ref="A1:T128"/>
  <sheetViews>
    <sheetView showGridLines="0" view="pageBreakPreview" zoomScale="120" zoomScaleSheetLayoutView="120" zoomScalePageLayoutView="0" workbookViewId="0" topLeftCell="A1">
      <selection activeCell="J54" sqref="J54"/>
    </sheetView>
  </sheetViews>
  <sheetFormatPr defaultColWidth="9.125" defaultRowHeight="13.5" customHeight="1"/>
  <cols>
    <col min="1" max="1" width="4.00390625" style="3" customWidth="1"/>
    <col min="2" max="2" width="21.25390625" style="3" customWidth="1"/>
    <col min="3" max="3" width="8.00390625" style="4" customWidth="1"/>
    <col min="4" max="4" width="7.75390625" style="3" customWidth="1"/>
    <col min="5" max="5" width="5.875" style="3" customWidth="1"/>
    <col min="6" max="9" width="7.875" style="3" customWidth="1"/>
    <col min="10" max="10" width="8.875" style="3" customWidth="1"/>
    <col min="11" max="11" width="7.875" style="3" customWidth="1"/>
    <col min="12" max="12" width="5.375" style="3" customWidth="1"/>
    <col min="13" max="13" width="4.75390625" style="3" customWidth="1"/>
    <col min="14" max="14" width="6.75390625" style="3" customWidth="1"/>
    <col min="15" max="15" width="6.875" style="3" customWidth="1"/>
    <col min="16" max="16" width="9.125" style="3" customWidth="1"/>
    <col min="17" max="18" width="5.25390625" style="3" customWidth="1"/>
    <col min="19" max="16384" width="9.125" style="3" customWidth="1"/>
  </cols>
  <sheetData>
    <row r="1" spans="6:10" ht="24" customHeight="1">
      <c r="F1" s="5" t="s">
        <v>272</v>
      </c>
      <c r="I1" s="6"/>
      <c r="J1" s="339" t="s">
        <v>339</v>
      </c>
    </row>
    <row r="2" spans="2:11" ht="13.5" customHeight="1">
      <c r="B2" s="8"/>
      <c r="C2" s="9"/>
      <c r="D2" s="10"/>
      <c r="E2" s="143"/>
      <c r="F2" s="143"/>
      <c r="G2" s="10"/>
      <c r="H2" s="10"/>
      <c r="I2" s="11"/>
      <c r="J2" s="10"/>
      <c r="K2" s="10"/>
    </row>
    <row r="3" spans="2:14" ht="13.5" customHeight="1" thickBot="1">
      <c r="B3" s="89" t="s">
        <v>118</v>
      </c>
      <c r="C3" s="294" t="s">
        <v>133</v>
      </c>
      <c r="E3" s="14"/>
      <c r="F3" s="291">
        <v>2013</v>
      </c>
      <c r="G3" s="291">
        <f>F3+1</f>
        <v>2014</v>
      </c>
      <c r="H3" s="291">
        <f>G3+1</f>
        <v>2015</v>
      </c>
      <c r="I3" s="291">
        <f>H3+1</f>
        <v>2016</v>
      </c>
      <c r="J3" s="291">
        <f>I3+1</f>
        <v>2017</v>
      </c>
      <c r="K3" s="13"/>
      <c r="L3" s="13"/>
      <c r="N3" s="14"/>
    </row>
    <row r="4" spans="2:16" ht="13.5" customHeight="1">
      <c r="B4" s="15" t="s">
        <v>4</v>
      </c>
      <c r="C4" s="269">
        <v>400</v>
      </c>
      <c r="D4" s="17" t="s">
        <v>29</v>
      </c>
      <c r="E4" s="14"/>
      <c r="F4" s="148"/>
      <c r="G4" s="18"/>
      <c r="H4" s="18"/>
      <c r="I4" s="18"/>
      <c r="J4" s="18"/>
      <c r="K4" s="38"/>
      <c r="L4" s="19"/>
      <c r="M4" s="20"/>
      <c r="N4" s="14"/>
      <c r="O4" s="21"/>
      <c r="P4" s="22"/>
    </row>
    <row r="5" spans="2:16" ht="13.5" customHeight="1">
      <c r="B5" s="23" t="s">
        <v>119</v>
      </c>
      <c r="C5" s="271"/>
      <c r="D5" s="17"/>
      <c r="E5" s="14"/>
      <c r="F5" s="49"/>
      <c r="G5" s="265"/>
      <c r="H5" s="265"/>
      <c r="I5" s="265"/>
      <c r="J5" s="265"/>
      <c r="K5" s="260"/>
      <c r="L5" s="263"/>
      <c r="M5" s="14"/>
      <c r="N5" s="14"/>
      <c r="O5" s="27"/>
      <c r="P5" s="22"/>
    </row>
    <row r="6" spans="2:16" ht="13.5" customHeight="1">
      <c r="B6" s="15" t="s">
        <v>121</v>
      </c>
      <c r="C6" s="16"/>
      <c r="D6" s="17" t="s">
        <v>31</v>
      </c>
      <c r="E6" s="14"/>
      <c r="F6" s="38"/>
      <c r="G6" s="38"/>
      <c r="H6" s="38"/>
      <c r="I6" s="38"/>
      <c r="J6" s="38"/>
      <c r="K6" s="38"/>
      <c r="L6" s="19"/>
      <c r="M6" s="28"/>
      <c r="N6" s="29"/>
      <c r="O6" s="21"/>
      <c r="P6" s="22"/>
    </row>
    <row r="7" spans="2:16" ht="13.5" customHeight="1">
      <c r="B7" s="23" t="s">
        <v>126</v>
      </c>
      <c r="C7" s="269">
        <v>20</v>
      </c>
      <c r="D7" s="17" t="s">
        <v>33</v>
      </c>
      <c r="E7" s="14"/>
      <c r="F7" s="266"/>
      <c r="G7" s="287"/>
      <c r="H7" s="287"/>
      <c r="I7" s="287"/>
      <c r="J7" s="287"/>
      <c r="K7" s="263"/>
      <c r="L7" s="263"/>
      <c r="M7" s="28"/>
      <c r="N7" s="14"/>
      <c r="O7" s="14"/>
      <c r="P7" s="32"/>
    </row>
    <row r="8" spans="2:16" ht="13.5" customHeight="1">
      <c r="B8" s="15" t="s">
        <v>7</v>
      </c>
      <c r="C8" s="33"/>
      <c r="D8" s="17"/>
      <c r="E8" s="14"/>
      <c r="F8" s="38"/>
      <c r="G8" s="38"/>
      <c r="H8" s="38"/>
      <c r="I8" s="38"/>
      <c r="J8" s="38"/>
      <c r="K8" s="260"/>
      <c r="L8" s="263"/>
      <c r="M8" s="32"/>
      <c r="N8" s="14"/>
      <c r="O8" s="27"/>
      <c r="P8" s="22"/>
    </row>
    <row r="9" spans="2:16" ht="13.5" customHeight="1">
      <c r="B9" s="23" t="s">
        <v>14</v>
      </c>
      <c r="C9" s="268">
        <v>40</v>
      </c>
      <c r="D9" s="17" t="s">
        <v>33</v>
      </c>
      <c r="E9" s="14"/>
      <c r="F9" s="265"/>
      <c r="G9" s="265"/>
      <c r="H9" s="265"/>
      <c r="I9" s="265"/>
      <c r="J9" s="265"/>
      <c r="K9" s="260"/>
      <c r="L9" s="263"/>
      <c r="M9" s="32"/>
      <c r="N9" s="14"/>
      <c r="O9" s="21"/>
      <c r="P9" s="267"/>
    </row>
    <row r="10" spans="2:16" ht="13.5" customHeight="1">
      <c r="B10" s="15" t="s">
        <v>36</v>
      </c>
      <c r="C10" s="16"/>
      <c r="D10" s="37"/>
      <c r="E10" s="14"/>
      <c r="F10" s="38"/>
      <c r="G10" s="38"/>
      <c r="H10" s="38"/>
      <c r="I10" s="38"/>
      <c r="J10" s="38"/>
      <c r="K10" s="38"/>
      <c r="L10" s="19"/>
      <c r="M10" s="32"/>
      <c r="N10" s="14"/>
      <c r="O10" s="27"/>
      <c r="P10" s="22"/>
    </row>
    <row r="11" spans="2:16" s="4" customFormat="1" ht="13.5" customHeight="1">
      <c r="B11" s="39" t="s">
        <v>16</v>
      </c>
      <c r="C11" s="257">
        <v>0.06</v>
      </c>
      <c r="D11" s="17" t="s">
        <v>34</v>
      </c>
      <c r="E11" s="41"/>
      <c r="F11" s="266"/>
      <c r="G11" s="266"/>
      <c r="H11" s="266"/>
      <c r="I11" s="266"/>
      <c r="J11" s="266"/>
      <c r="K11" s="263"/>
      <c r="L11" s="263"/>
      <c r="M11" s="40"/>
      <c r="N11" s="41"/>
      <c r="O11" s="21"/>
      <c r="P11" s="22"/>
    </row>
    <row r="12" spans="2:16" ht="13.5" customHeight="1">
      <c r="B12" s="15" t="s">
        <v>17</v>
      </c>
      <c r="C12" s="16"/>
      <c r="D12" s="42"/>
      <c r="E12" s="14"/>
      <c r="F12" s="38"/>
      <c r="G12" s="38"/>
      <c r="H12" s="38"/>
      <c r="I12" s="38"/>
      <c r="J12" s="38"/>
      <c r="K12" s="38"/>
      <c r="L12" s="19"/>
      <c r="M12" s="38"/>
      <c r="N12" s="14"/>
      <c r="O12" s="27"/>
      <c r="P12" s="22"/>
    </row>
    <row r="13" spans="2:16" ht="13.5" customHeight="1">
      <c r="B13" s="23" t="s">
        <v>3</v>
      </c>
      <c r="C13" s="251">
        <v>0.3</v>
      </c>
      <c r="D13" s="17" t="s">
        <v>34</v>
      </c>
      <c r="E13" s="14"/>
      <c r="F13" s="49"/>
      <c r="G13" s="265"/>
      <c r="H13" s="265"/>
      <c r="I13" s="265"/>
      <c r="J13" s="265"/>
      <c r="K13" s="260"/>
      <c r="L13" s="263"/>
      <c r="M13" s="260"/>
      <c r="N13" s="14"/>
      <c r="O13" s="149"/>
      <c r="P13" s="22"/>
    </row>
    <row r="14" spans="2:16" ht="13.5" customHeight="1">
      <c r="B14" s="15" t="s">
        <v>122</v>
      </c>
      <c r="C14" s="18"/>
      <c r="D14" s="37"/>
      <c r="E14" s="14"/>
      <c r="F14" s="38"/>
      <c r="G14" s="264"/>
      <c r="H14" s="264"/>
      <c r="I14" s="264"/>
      <c r="J14" s="264"/>
      <c r="K14" s="260"/>
      <c r="L14" s="263"/>
      <c r="M14" s="260"/>
      <c r="N14" s="14"/>
      <c r="O14" s="21"/>
      <c r="P14" s="45"/>
    </row>
    <row r="15" spans="2:16" ht="15.75" customHeight="1">
      <c r="B15" s="15"/>
      <c r="C15" s="18"/>
      <c r="D15" s="37"/>
      <c r="E15" s="38"/>
      <c r="F15" s="38"/>
      <c r="G15" s="262"/>
      <c r="H15" s="262"/>
      <c r="I15" s="262"/>
      <c r="J15" s="262"/>
      <c r="K15" s="261"/>
      <c r="L15" s="260"/>
      <c r="M15" s="14"/>
      <c r="N15" s="14"/>
      <c r="P15" s="22"/>
    </row>
    <row r="16" spans="2:16" ht="13.5" customHeight="1" thickBot="1">
      <c r="B16" s="183" t="s">
        <v>123</v>
      </c>
      <c r="C16" s="293"/>
      <c r="D16" s="47"/>
      <c r="E16" s="258"/>
      <c r="F16" s="259"/>
      <c r="G16" s="49"/>
      <c r="H16" s="51"/>
      <c r="I16" s="193"/>
      <c r="J16" s="49"/>
      <c r="K16" s="286" t="s">
        <v>174</v>
      </c>
      <c r="M16" s="14"/>
      <c r="N16" s="14"/>
      <c r="O16" s="43"/>
      <c r="P16" s="22"/>
    </row>
    <row r="17" spans="2:18" ht="13.5" customHeight="1">
      <c r="B17" s="52" t="s">
        <v>175</v>
      </c>
      <c r="C17" s="257">
        <v>0.03</v>
      </c>
      <c r="D17" s="17" t="s">
        <v>29</v>
      </c>
      <c r="E17" s="14"/>
      <c r="F17" s="242" t="s">
        <v>10</v>
      </c>
      <c r="G17" s="241"/>
      <c r="H17" s="241"/>
      <c r="I17" s="241"/>
      <c r="J17" s="241"/>
      <c r="K17" s="53"/>
      <c r="M17" s="14"/>
      <c r="N17" s="255" t="s">
        <v>77</v>
      </c>
      <c r="O17" s="4" t="s">
        <v>78</v>
      </c>
      <c r="P17" s="4" t="s">
        <v>79</v>
      </c>
      <c r="Q17" s="94" t="s">
        <v>80</v>
      </c>
      <c r="R17" s="4" t="s">
        <v>81</v>
      </c>
    </row>
    <row r="18" spans="2:20" ht="13.5" customHeight="1">
      <c r="B18" s="52" t="s">
        <v>125</v>
      </c>
      <c r="C18" s="251">
        <v>-0.01</v>
      </c>
      <c r="D18" s="17" t="s">
        <v>31</v>
      </c>
      <c r="E18" s="14"/>
      <c r="F18" s="285">
        <v>0.25</v>
      </c>
      <c r="G18" s="284"/>
      <c r="H18" s="284"/>
      <c r="I18" s="284"/>
      <c r="J18" s="284"/>
      <c r="K18" s="53"/>
      <c r="M18" s="14"/>
      <c r="N18" s="29">
        <f>O18+P18*(Q18-R18)</f>
        <v>-0.18</v>
      </c>
      <c r="O18" s="248">
        <f>F23</f>
        <v>0</v>
      </c>
      <c r="P18" s="248">
        <f>E31/E32</f>
        <v>3</v>
      </c>
      <c r="Q18" s="248">
        <f>O18</f>
        <v>0</v>
      </c>
      <c r="R18" s="248">
        <f>C11</f>
        <v>0.06</v>
      </c>
      <c r="S18" s="246" t="s">
        <v>82</v>
      </c>
      <c r="T18" s="248"/>
    </row>
    <row r="19" spans="2:19" ht="13.5" customHeight="1">
      <c r="B19" s="52" t="s">
        <v>127</v>
      </c>
      <c r="C19" s="251">
        <v>0.03</v>
      </c>
      <c r="D19" s="17" t="s">
        <v>33</v>
      </c>
      <c r="E19" s="14"/>
      <c r="F19" s="245"/>
      <c r="G19" s="283"/>
      <c r="H19" s="283"/>
      <c r="I19" s="283"/>
      <c r="J19" s="283"/>
      <c r="K19" s="53"/>
      <c r="M19" s="14"/>
      <c r="N19" s="29">
        <f>O19+P19*(Q19-R19)</f>
        <v>-0.126</v>
      </c>
      <c r="O19" s="247">
        <f>O18*0.7</f>
        <v>0</v>
      </c>
      <c r="P19" s="7">
        <f>P18</f>
        <v>3</v>
      </c>
      <c r="Q19" s="248">
        <f>O19</f>
        <v>0</v>
      </c>
      <c r="R19" s="247">
        <f>R18*0.7</f>
        <v>0.041999999999999996</v>
      </c>
      <c r="S19" s="246" t="s">
        <v>83</v>
      </c>
    </row>
    <row r="20" spans="2:14" ht="13.5" customHeight="1">
      <c r="B20" s="52" t="s">
        <v>128</v>
      </c>
      <c r="C20" s="57"/>
      <c r="D20" s="242"/>
      <c r="E20" s="14"/>
      <c r="F20" s="245"/>
      <c r="G20" s="244"/>
      <c r="H20" s="244"/>
      <c r="I20" s="244"/>
      <c r="J20" s="244"/>
      <c r="K20" s="53"/>
      <c r="M20" s="14"/>
      <c r="N20" s="14"/>
    </row>
    <row r="21" spans="2:14" ht="13.5" customHeight="1">
      <c r="B21" s="52" t="s">
        <v>129</v>
      </c>
      <c r="C21" s="57"/>
      <c r="D21" s="57"/>
      <c r="E21" s="14"/>
      <c r="F21" s="242"/>
      <c r="G21" s="243"/>
      <c r="H21" s="243"/>
      <c r="I21" s="243"/>
      <c r="J21" s="243"/>
      <c r="K21" s="53"/>
      <c r="M21" s="14"/>
      <c r="N21" s="14"/>
    </row>
    <row r="22" spans="2:16" ht="13.5" customHeight="1">
      <c r="B22" s="52" t="s">
        <v>130</v>
      </c>
      <c r="C22" s="18"/>
      <c r="D22" s="33"/>
      <c r="E22" s="14"/>
      <c r="F22" s="242"/>
      <c r="G22" s="242"/>
      <c r="H22" s="242"/>
      <c r="I22" s="242"/>
      <c r="J22" s="242"/>
      <c r="K22" s="53"/>
      <c r="M22" s="14"/>
      <c r="N22" s="14"/>
      <c r="P22" s="7"/>
    </row>
    <row r="23" spans="2:16" ht="13.5" customHeight="1">
      <c r="B23" s="52" t="s">
        <v>131</v>
      </c>
      <c r="C23" s="18"/>
      <c r="D23" s="33"/>
      <c r="E23" s="14"/>
      <c r="F23" s="242"/>
      <c r="G23" s="242"/>
      <c r="H23" s="242"/>
      <c r="I23" s="242"/>
      <c r="J23" s="242"/>
      <c r="K23" s="53"/>
      <c r="M23" s="14"/>
      <c r="N23" s="14"/>
      <c r="P23" s="7"/>
    </row>
    <row r="24" spans="2:16" ht="13.5" customHeight="1">
      <c r="B24" s="52"/>
      <c r="C24" s="18"/>
      <c r="D24" s="33"/>
      <c r="E24" s="242"/>
      <c r="F24" s="242"/>
      <c r="G24" s="242"/>
      <c r="H24" s="242"/>
      <c r="I24" s="242"/>
      <c r="J24" s="242"/>
      <c r="K24" s="242"/>
      <c r="L24" s="241"/>
      <c r="M24" s="14"/>
      <c r="N24" s="14"/>
      <c r="P24" s="7"/>
    </row>
    <row r="25" spans="2:15" ht="13.5" customHeight="1">
      <c r="B25" s="52"/>
      <c r="C25" s="65"/>
      <c r="D25" s="66"/>
      <c r="E25" s="282"/>
      <c r="F25" s="146"/>
      <c r="G25" s="66"/>
      <c r="H25" s="67"/>
      <c r="J25" s="66"/>
      <c r="K25" s="66"/>
      <c r="L25" s="68"/>
      <c r="M25" s="14"/>
      <c r="N25" s="14"/>
      <c r="O25" s="69"/>
    </row>
    <row r="26" spans="2:18" ht="13.5" customHeight="1" thickBot="1">
      <c r="B26" s="182" t="s">
        <v>132</v>
      </c>
      <c r="C26" s="70"/>
      <c r="D26" s="12" t="s">
        <v>133</v>
      </c>
      <c r="E26" s="71">
        <f>F26-1</f>
        <v>2012</v>
      </c>
      <c r="F26" s="71">
        <f>F3</f>
        <v>2013</v>
      </c>
      <c r="G26" s="71">
        <f>G3</f>
        <v>2014</v>
      </c>
      <c r="H26" s="71">
        <f>H3</f>
        <v>2015</v>
      </c>
      <c r="I26" s="71">
        <f>I3</f>
        <v>2016</v>
      </c>
      <c r="J26" s="71">
        <f>J3</f>
        <v>2017</v>
      </c>
      <c r="K26" s="72"/>
      <c r="L26" s="72"/>
      <c r="M26" s="28"/>
      <c r="N26" s="14"/>
      <c r="O26" s="73"/>
      <c r="P26" s="74"/>
      <c r="Q26" s="13"/>
      <c r="R26" s="75"/>
    </row>
    <row r="27" spans="2:18" ht="13.5" customHeight="1">
      <c r="B27" s="23" t="s">
        <v>18</v>
      </c>
      <c r="C27" s="257">
        <v>0.2</v>
      </c>
      <c r="D27" s="17" t="s">
        <v>35</v>
      </c>
      <c r="E27" s="19"/>
      <c r="F27" s="38"/>
      <c r="G27" s="38"/>
      <c r="H27" s="38"/>
      <c r="I27" s="38"/>
      <c r="J27" s="38"/>
      <c r="K27" s="19"/>
      <c r="L27" s="19"/>
      <c r="M27" s="28"/>
      <c r="O27" s="27"/>
      <c r="P27" s="239"/>
      <c r="Q27" s="77"/>
      <c r="R27" s="22"/>
    </row>
    <row r="28" spans="2:18" ht="13.5" customHeight="1">
      <c r="B28" s="23" t="s">
        <v>134</v>
      </c>
      <c r="C28" s="158">
        <v>0</v>
      </c>
      <c r="D28" s="17" t="s">
        <v>35</v>
      </c>
      <c r="E28" s="224">
        <v>200</v>
      </c>
      <c r="F28" s="79"/>
      <c r="G28" s="79"/>
      <c r="H28" s="79"/>
      <c r="I28" s="79"/>
      <c r="J28" s="79"/>
      <c r="K28" s="19"/>
      <c r="L28" s="19"/>
      <c r="M28" s="28"/>
      <c r="O28" s="27"/>
      <c r="Q28" s="77"/>
      <c r="R28" s="22"/>
    </row>
    <row r="29" spans="2:18" ht="13.5" customHeight="1">
      <c r="B29" s="15" t="s">
        <v>135</v>
      </c>
      <c r="C29" s="18"/>
      <c r="D29" s="58"/>
      <c r="E29" s="38">
        <f>E27+E28</f>
        <v>200</v>
      </c>
      <c r="F29" s="38"/>
      <c r="G29" s="38"/>
      <c r="H29" s="38"/>
      <c r="I29" s="38"/>
      <c r="J29" s="38"/>
      <c r="K29" s="19"/>
      <c r="L29" s="19"/>
      <c r="P29" s="22"/>
      <c r="Q29" s="77"/>
      <c r="R29" s="22"/>
    </row>
    <row r="30" spans="2:18" ht="6.75" customHeight="1">
      <c r="B30" s="23"/>
      <c r="C30" s="18"/>
      <c r="D30" s="18"/>
      <c r="E30" s="19"/>
      <c r="F30" s="38"/>
      <c r="G30" s="18"/>
      <c r="H30" s="18"/>
      <c r="I30" s="18"/>
      <c r="J30" s="18"/>
      <c r="K30" s="19"/>
      <c r="L30" s="19"/>
      <c r="O30" s="27"/>
      <c r="P30" s="80"/>
      <c r="Q30" s="77"/>
      <c r="R30" s="22"/>
    </row>
    <row r="31" spans="2:18" ht="13.5" customHeight="1">
      <c r="B31" s="23" t="s">
        <v>137</v>
      </c>
      <c r="C31" s="81"/>
      <c r="D31" s="17" t="s">
        <v>38</v>
      </c>
      <c r="E31" s="225">
        <v>150</v>
      </c>
      <c r="F31" s="19"/>
      <c r="G31" s="19"/>
      <c r="H31" s="19"/>
      <c r="I31" s="19"/>
      <c r="J31" s="38"/>
      <c r="K31" s="19"/>
      <c r="L31" s="19"/>
      <c r="N31" s="35"/>
      <c r="O31" s="27"/>
      <c r="P31" s="80"/>
      <c r="Q31" s="77"/>
      <c r="R31" s="22"/>
    </row>
    <row r="32" spans="2:18" ht="13.5" customHeight="1">
      <c r="B32" s="23" t="s">
        <v>136</v>
      </c>
      <c r="C32" s="82"/>
      <c r="D32" s="17" t="s">
        <v>48</v>
      </c>
      <c r="E32" s="224">
        <v>50</v>
      </c>
      <c r="F32" s="79"/>
      <c r="G32" s="79"/>
      <c r="H32" s="49"/>
      <c r="I32" s="49"/>
      <c r="J32" s="49"/>
      <c r="K32" s="19"/>
      <c r="L32" s="19"/>
      <c r="N32" s="35"/>
      <c r="O32" s="21"/>
      <c r="P32" s="22"/>
      <c r="Q32" s="77"/>
      <c r="R32" s="22"/>
    </row>
    <row r="33" spans="2:18" ht="12" customHeight="1">
      <c r="B33" s="15" t="s">
        <v>138</v>
      </c>
      <c r="C33" s="18"/>
      <c r="D33" s="18"/>
      <c r="E33" s="18">
        <f>E32+E31</f>
        <v>200</v>
      </c>
      <c r="F33" s="18"/>
      <c r="G33" s="18"/>
      <c r="H33" s="18"/>
      <c r="I33" s="18"/>
      <c r="J33" s="18"/>
      <c r="K33" s="19"/>
      <c r="L33" s="19"/>
      <c r="N33" s="35"/>
      <c r="O33" s="27"/>
      <c r="P33" s="22"/>
      <c r="Q33" s="77"/>
      <c r="R33" s="22"/>
    </row>
    <row r="34" spans="3:18" ht="19.5" customHeight="1">
      <c r="C34" s="281" t="s">
        <v>271</v>
      </c>
      <c r="D34" s="17" t="s">
        <v>68</v>
      </c>
      <c r="E34" s="38">
        <f>E33-E29</f>
        <v>0</v>
      </c>
      <c r="F34" s="38"/>
      <c r="G34" s="38"/>
      <c r="H34" s="38"/>
      <c r="I34" s="38"/>
      <c r="J34" s="38"/>
      <c r="K34" s="19"/>
      <c r="L34" s="19"/>
      <c r="N34" s="35"/>
      <c r="O34" s="27"/>
      <c r="P34" s="22"/>
      <c r="Q34" s="22"/>
      <c r="R34" s="14"/>
    </row>
    <row r="35" spans="3:16" ht="12.75" customHeight="1">
      <c r="C35" s="281" t="s">
        <v>177</v>
      </c>
      <c r="D35" s="17" t="s">
        <v>68</v>
      </c>
      <c r="E35" s="19"/>
      <c r="F35" s="38"/>
      <c r="G35" s="38"/>
      <c r="H35" s="38"/>
      <c r="I35" s="38"/>
      <c r="J35" s="38"/>
      <c r="K35" s="19"/>
      <c r="L35" s="19"/>
      <c r="N35" s="35"/>
      <c r="P35" s="22"/>
    </row>
    <row r="36" spans="2:16" ht="12.75" customHeight="1">
      <c r="B36" s="83"/>
      <c r="C36" s="3"/>
      <c r="D36" s="84"/>
      <c r="E36" s="22"/>
      <c r="F36" s="22"/>
      <c r="G36" s="22"/>
      <c r="H36" s="22"/>
      <c r="I36" s="22"/>
      <c r="J36" s="22"/>
      <c r="K36" s="22"/>
      <c r="L36" s="85"/>
      <c r="N36" s="35"/>
      <c r="P36" s="22"/>
    </row>
    <row r="37" spans="2:14" ht="12.75" customHeight="1">
      <c r="B37" s="83"/>
      <c r="C37" s="3"/>
      <c r="D37" s="84"/>
      <c r="E37" s="22"/>
      <c r="F37" s="22"/>
      <c r="G37" s="22"/>
      <c r="H37" s="22"/>
      <c r="I37" s="22"/>
      <c r="J37" s="22"/>
      <c r="K37" s="22"/>
      <c r="N37" s="35"/>
    </row>
    <row r="38" spans="1:14" ht="12.75" customHeight="1" thickBot="1">
      <c r="A38" s="86"/>
      <c r="B38" s="87" t="s">
        <v>140</v>
      </c>
      <c r="C38" s="88"/>
      <c r="D38" s="89"/>
      <c r="E38" s="226"/>
      <c r="F38" s="226"/>
      <c r="G38" s="226"/>
      <c r="H38" s="90"/>
      <c r="I38" s="22"/>
      <c r="J38" s="22"/>
      <c r="K38" s="22"/>
      <c r="N38" s="35"/>
    </row>
    <row r="39" spans="1:14" ht="12.75" customHeight="1">
      <c r="A39" s="86"/>
      <c r="B39" s="85" t="s">
        <v>141</v>
      </c>
      <c r="C39" s="91"/>
      <c r="D39" s="92"/>
      <c r="E39" s="227"/>
      <c r="F39" s="227"/>
      <c r="G39" s="85"/>
      <c r="H39" s="77"/>
      <c r="I39" s="22"/>
      <c r="J39" s="22"/>
      <c r="L39" s="77"/>
      <c r="N39" s="35"/>
    </row>
    <row r="40" spans="1:14" ht="12.75" customHeight="1">
      <c r="A40" s="93" t="s">
        <v>29</v>
      </c>
      <c r="B40" s="94" t="s">
        <v>270</v>
      </c>
      <c r="C40" s="91"/>
      <c r="D40" s="92"/>
      <c r="E40" s="227"/>
      <c r="F40" s="227"/>
      <c r="G40" s="85"/>
      <c r="H40" s="77"/>
      <c r="I40" s="22"/>
      <c r="J40" s="22"/>
      <c r="L40" s="77"/>
      <c r="N40" s="35"/>
    </row>
    <row r="41" spans="1:14" ht="12.75" customHeight="1">
      <c r="A41" s="93" t="s">
        <v>29</v>
      </c>
      <c r="B41" s="94" t="s">
        <v>269</v>
      </c>
      <c r="C41" s="95"/>
      <c r="E41" s="22"/>
      <c r="F41" s="22"/>
      <c r="G41" s="22"/>
      <c r="H41" s="22"/>
      <c r="I41" s="22"/>
      <c r="J41" s="22"/>
      <c r="K41" s="22"/>
      <c r="N41" s="35"/>
    </row>
    <row r="42" spans="1:14" ht="12.75" customHeight="1">
      <c r="A42" s="93" t="s">
        <v>57</v>
      </c>
      <c r="B42" s="94" t="s">
        <v>180</v>
      </c>
      <c r="C42" s="95"/>
      <c r="D42" s="86"/>
      <c r="E42" s="22"/>
      <c r="F42" s="22"/>
      <c r="G42" s="22"/>
      <c r="H42" s="22"/>
      <c r="I42" s="22"/>
      <c r="J42" s="22"/>
      <c r="K42" s="22"/>
      <c r="N42" s="35"/>
    </row>
    <row r="43" spans="1:14" ht="12.75" customHeight="1">
      <c r="A43" s="93" t="s">
        <v>58</v>
      </c>
      <c r="B43" s="94" t="s">
        <v>275</v>
      </c>
      <c r="C43" s="95"/>
      <c r="D43" s="86"/>
      <c r="E43" s="22"/>
      <c r="F43" s="22"/>
      <c r="G43" s="22"/>
      <c r="H43" s="22"/>
      <c r="I43" s="22"/>
      <c r="J43" s="22"/>
      <c r="K43" s="22"/>
      <c r="N43" s="35"/>
    </row>
    <row r="44" spans="1:14" ht="12.75" customHeight="1">
      <c r="A44" s="93" t="s">
        <v>34</v>
      </c>
      <c r="B44" s="94" t="s">
        <v>268</v>
      </c>
      <c r="D44" s="96"/>
      <c r="E44" s="97"/>
      <c r="F44" s="97"/>
      <c r="G44" s="22"/>
      <c r="H44" s="22"/>
      <c r="I44" s="22"/>
      <c r="J44" s="22"/>
      <c r="K44" s="22"/>
      <c r="N44" s="35"/>
    </row>
    <row r="45" spans="1:14" ht="12.75" customHeight="1">
      <c r="A45" s="93" t="s">
        <v>35</v>
      </c>
      <c r="B45" s="94" t="s">
        <v>267</v>
      </c>
      <c r="D45" s="96"/>
      <c r="E45" s="97"/>
      <c r="F45" s="97"/>
      <c r="G45" s="22"/>
      <c r="H45" s="22"/>
      <c r="I45" s="22"/>
      <c r="J45" s="22"/>
      <c r="K45" s="22"/>
      <c r="N45" s="35"/>
    </row>
    <row r="46" spans="1:14" ht="12.75" customHeight="1">
      <c r="A46" s="93" t="s">
        <v>35</v>
      </c>
      <c r="B46" s="3" t="s">
        <v>266</v>
      </c>
      <c r="D46" s="96"/>
      <c r="E46" s="97"/>
      <c r="F46" s="97"/>
      <c r="G46" s="22"/>
      <c r="H46" s="22"/>
      <c r="I46" s="22"/>
      <c r="J46" s="22"/>
      <c r="K46" s="22"/>
      <c r="N46" s="35"/>
    </row>
    <row r="47" spans="1:14" ht="12.75" customHeight="1">
      <c r="A47" s="93" t="s">
        <v>38</v>
      </c>
      <c r="B47" s="3" t="s">
        <v>265</v>
      </c>
      <c r="C47" s="97"/>
      <c r="D47" s="96"/>
      <c r="E47" s="97"/>
      <c r="F47" s="97"/>
      <c r="G47" s="22"/>
      <c r="H47" s="22"/>
      <c r="I47" s="22"/>
      <c r="J47" s="22"/>
      <c r="K47" s="22"/>
      <c r="N47" s="35"/>
    </row>
    <row r="48" spans="1:14" ht="12.75" customHeight="1">
      <c r="A48" s="93" t="s">
        <v>48</v>
      </c>
      <c r="B48" s="3" t="s">
        <v>264</v>
      </c>
      <c r="I48" s="22"/>
      <c r="J48" s="22"/>
      <c r="K48" s="22"/>
      <c r="N48" s="35"/>
    </row>
    <row r="49" spans="1:2" ht="12.75" customHeight="1">
      <c r="A49" s="93" t="s">
        <v>68</v>
      </c>
      <c r="B49" s="3" t="s">
        <v>211</v>
      </c>
    </row>
    <row r="50" spans="3:14" ht="12.75" customHeight="1">
      <c r="C50" s="3"/>
      <c r="D50" s="84"/>
      <c r="E50" s="22"/>
      <c r="F50" s="22"/>
      <c r="G50" s="22"/>
      <c r="H50" s="22"/>
      <c r="I50" s="22"/>
      <c r="J50" s="22"/>
      <c r="K50" s="22"/>
      <c r="N50" s="35"/>
    </row>
    <row r="51" spans="3:14" ht="12.75" customHeight="1">
      <c r="C51" s="3"/>
      <c r="D51" s="84"/>
      <c r="E51" s="22"/>
      <c r="F51" s="22"/>
      <c r="G51" s="22"/>
      <c r="N51" s="35"/>
    </row>
    <row r="52" spans="7:14" ht="12.75" customHeight="1">
      <c r="G52" s="98"/>
      <c r="I52" s="99"/>
      <c r="J52" s="99"/>
      <c r="K52" s="4" t="s">
        <v>116</v>
      </c>
      <c r="N52" s="35"/>
    </row>
    <row r="53" spans="2:14" ht="27" customHeight="1">
      <c r="B53" s="100"/>
      <c r="C53" s="101"/>
      <c r="D53" s="101"/>
      <c r="F53" s="5" t="s">
        <v>263</v>
      </c>
      <c r="H53" s="238"/>
      <c r="J53" s="339" t="str">
        <f>J1</f>
        <v> TO DO</v>
      </c>
      <c r="L53" s="4"/>
      <c r="N53" s="58"/>
    </row>
    <row r="54" spans="5:14" s="86" customFormat="1" ht="13.5" customHeight="1">
      <c r="E54" s="28"/>
      <c r="F54" s="28"/>
      <c r="G54" s="28"/>
      <c r="H54" s="28"/>
      <c r="I54" s="28"/>
      <c r="J54" s="28"/>
      <c r="K54" s="28"/>
      <c r="N54" s="58"/>
    </row>
    <row r="55" spans="2:14" s="86" customFormat="1" ht="13.5" customHeight="1">
      <c r="B55" s="103"/>
      <c r="C55" s="104"/>
      <c r="D55" s="105"/>
      <c r="E55" s="162">
        <f aca="true" t="shared" si="0" ref="E55:J55">E26</f>
        <v>2012</v>
      </c>
      <c r="F55" s="162">
        <f t="shared" si="0"/>
        <v>2013</v>
      </c>
      <c r="G55" s="162">
        <f t="shared" si="0"/>
        <v>2014</v>
      </c>
      <c r="H55" s="162">
        <f t="shared" si="0"/>
        <v>2015</v>
      </c>
      <c r="I55" s="162">
        <f t="shared" si="0"/>
        <v>2016</v>
      </c>
      <c r="J55" s="162">
        <f t="shared" si="0"/>
        <v>2017</v>
      </c>
      <c r="K55" s="72"/>
      <c r="L55" s="106"/>
      <c r="M55" s="107" t="s">
        <v>60</v>
      </c>
      <c r="N55" s="31"/>
    </row>
    <row r="56" spans="2:14" s="86" customFormat="1" ht="13.5" customHeight="1" thickBot="1">
      <c r="B56" s="89" t="s">
        <v>149</v>
      </c>
      <c r="C56" s="184"/>
      <c r="D56" s="68"/>
      <c r="E56" s="171">
        <v>0</v>
      </c>
      <c r="F56" s="171">
        <v>1</v>
      </c>
      <c r="G56" s="171">
        <v>2</v>
      </c>
      <c r="H56" s="171">
        <v>3</v>
      </c>
      <c r="I56" s="171">
        <v>4</v>
      </c>
      <c r="J56" s="171">
        <v>5</v>
      </c>
      <c r="K56" s="72"/>
      <c r="L56" s="72"/>
      <c r="M56" s="6" t="s">
        <v>22</v>
      </c>
      <c r="N56" s="6" t="s">
        <v>62</v>
      </c>
    </row>
    <row r="57" spans="2:14" s="86" customFormat="1" ht="13.5" customHeight="1">
      <c r="B57" s="23" t="s">
        <v>150</v>
      </c>
      <c r="C57" s="108"/>
      <c r="D57" s="17" t="s">
        <v>29</v>
      </c>
      <c r="E57" s="19"/>
      <c r="F57" s="18"/>
      <c r="G57" s="18"/>
      <c r="H57" s="18"/>
      <c r="I57" s="18"/>
      <c r="J57" s="18"/>
      <c r="K57" s="19"/>
      <c r="L57" s="109"/>
      <c r="M57" s="110">
        <v>0.2</v>
      </c>
      <c r="N57" s="110">
        <v>0</v>
      </c>
    </row>
    <row r="58" spans="2:14" s="86" customFormat="1" ht="13.5" customHeight="1">
      <c r="B58" s="170" t="s">
        <v>89</v>
      </c>
      <c r="C58" s="108"/>
      <c r="D58" s="17"/>
      <c r="E58" s="79"/>
      <c r="F58" s="172"/>
      <c r="G58" s="172"/>
      <c r="H58" s="172"/>
      <c r="I58" s="172"/>
      <c r="J58" s="172"/>
      <c r="K58" s="19"/>
      <c r="L58" s="109"/>
      <c r="M58" s="95" t="s">
        <v>15</v>
      </c>
      <c r="N58" s="111">
        <f>J10</f>
        <v>0</v>
      </c>
    </row>
    <row r="59" spans="2:14" s="86" customFormat="1" ht="13.5" customHeight="1">
      <c r="B59" s="113" t="s">
        <v>151</v>
      </c>
      <c r="C59" s="108"/>
      <c r="D59" s="17"/>
      <c r="E59" s="82"/>
      <c r="F59" s="82"/>
      <c r="G59" s="82"/>
      <c r="H59" s="82"/>
      <c r="I59" s="82"/>
      <c r="J59" s="82"/>
      <c r="K59" s="106"/>
      <c r="L59" s="104"/>
      <c r="M59" s="4" t="s">
        <v>114</v>
      </c>
      <c r="N59" s="112">
        <f>N58/(M57-N57)</f>
        <v>0</v>
      </c>
    </row>
    <row r="60" spans="2:16" s="86" customFormat="1" ht="21" customHeight="1">
      <c r="B60" s="113" t="s">
        <v>152</v>
      </c>
      <c r="C60" s="108"/>
      <c r="D60" s="58"/>
      <c r="E60" s="175"/>
      <c r="F60" s="175"/>
      <c r="G60" s="175"/>
      <c r="H60" s="175"/>
      <c r="I60" s="175"/>
      <c r="J60" s="175"/>
      <c r="K60" s="106"/>
      <c r="L60" s="104"/>
      <c r="M60" s="58"/>
      <c r="N60" s="3"/>
      <c r="O60" s="4"/>
      <c r="P60" s="112"/>
    </row>
    <row r="61" spans="2:15" s="86" customFormat="1" ht="13.5" customHeight="1">
      <c r="B61" s="68"/>
      <c r="C61" s="108"/>
      <c r="D61" s="58"/>
      <c r="E61" s="232"/>
      <c r="F61" s="232"/>
      <c r="G61" s="18"/>
      <c r="H61" s="18"/>
      <c r="I61" s="18"/>
      <c r="J61" s="18"/>
      <c r="K61" s="18"/>
      <c r="L61" s="104"/>
      <c r="M61" s="58"/>
      <c r="N61" s="3"/>
      <c r="O61" s="3"/>
    </row>
    <row r="62" spans="2:15" s="86" customFormat="1" ht="13.5" customHeight="1">
      <c r="B62" s="72" t="s">
        <v>262</v>
      </c>
      <c r="C62" s="78" t="s">
        <v>196</v>
      </c>
      <c r="D62" s="115">
        <v>0.15</v>
      </c>
      <c r="F62" s="232" t="s">
        <v>153</v>
      </c>
      <c r="G62" s="234"/>
      <c r="H62" s="81" t="s">
        <v>154</v>
      </c>
      <c r="I62" s="233"/>
      <c r="J62" s="81" t="s">
        <v>155</v>
      </c>
      <c r="K62" s="118"/>
      <c r="L62" s="104"/>
      <c r="M62" s="119"/>
      <c r="N62" s="3"/>
      <c r="O62" s="3"/>
    </row>
    <row r="63" spans="2:15" s="86" customFormat="1" ht="13.5" customHeight="1">
      <c r="B63" s="72" t="s">
        <v>152</v>
      </c>
      <c r="C63" s="78" t="s">
        <v>196</v>
      </c>
      <c r="D63" s="115">
        <f>D62*(1-C13)</f>
        <v>0.105</v>
      </c>
      <c r="E63" s="232"/>
      <c r="F63" s="232" t="s">
        <v>153</v>
      </c>
      <c r="G63" s="234"/>
      <c r="H63" s="81" t="s">
        <v>154</v>
      </c>
      <c r="I63" s="280"/>
      <c r="J63" s="81" t="s">
        <v>155</v>
      </c>
      <c r="K63" s="118"/>
      <c r="L63" s="104"/>
      <c r="M63" s="58"/>
      <c r="N63" s="3"/>
      <c r="O63" s="3"/>
    </row>
    <row r="64" spans="11:15" s="86" customFormat="1" ht="13.5" customHeight="1">
      <c r="K64" s="18"/>
      <c r="L64" s="104"/>
      <c r="M64" s="58"/>
      <c r="N64" s="3"/>
      <c r="O64" s="3"/>
    </row>
    <row r="65" spans="2:15" s="86" customFormat="1" ht="13.5" customHeight="1">
      <c r="B65" s="120"/>
      <c r="C65" s="17"/>
      <c r="D65" s="3"/>
      <c r="E65" s="121"/>
      <c r="F65" s="121"/>
      <c r="G65" s="122"/>
      <c r="H65" s="68"/>
      <c r="I65" s="106"/>
      <c r="J65" s="122"/>
      <c r="K65" s="18"/>
      <c r="L65" s="104"/>
      <c r="M65" s="58"/>
      <c r="N65" s="3"/>
      <c r="O65" s="3"/>
    </row>
    <row r="66" spans="2:14" ht="13.5" customHeight="1" thickBot="1">
      <c r="B66" s="89" t="s">
        <v>156</v>
      </c>
      <c r="C66" s="184"/>
      <c r="D66" s="68"/>
      <c r="E66" s="171">
        <f aca="true" t="shared" si="1" ref="E66:J66">E56</f>
        <v>0</v>
      </c>
      <c r="F66" s="171">
        <f t="shared" si="1"/>
        <v>1</v>
      </c>
      <c r="G66" s="171">
        <f t="shared" si="1"/>
        <v>2</v>
      </c>
      <c r="H66" s="171">
        <f t="shared" si="1"/>
        <v>3</v>
      </c>
      <c r="I66" s="171">
        <f t="shared" si="1"/>
        <v>4</v>
      </c>
      <c r="J66" s="171">
        <f t="shared" si="1"/>
        <v>5</v>
      </c>
      <c r="K66" s="72"/>
      <c r="L66" s="72"/>
      <c r="M66" s="107" t="s">
        <v>60</v>
      </c>
      <c r="N66" s="31"/>
    </row>
    <row r="67" spans="2:14" ht="13.5" customHeight="1">
      <c r="B67" s="23" t="s">
        <v>150</v>
      </c>
      <c r="C67" s="108"/>
      <c r="D67" s="17" t="s">
        <v>29</v>
      </c>
      <c r="E67" s="19"/>
      <c r="F67" s="19"/>
      <c r="G67" s="19"/>
      <c r="H67" s="19"/>
      <c r="I67" s="19"/>
      <c r="J67" s="19"/>
      <c r="L67" s="109"/>
      <c r="M67" s="6" t="s">
        <v>22</v>
      </c>
      <c r="N67" s="6" t="s">
        <v>62</v>
      </c>
    </row>
    <row r="68" spans="2:16" ht="13.5" customHeight="1">
      <c r="B68" s="23" t="s">
        <v>157</v>
      </c>
      <c r="C68" s="108"/>
      <c r="D68" s="17" t="s">
        <v>31</v>
      </c>
      <c r="E68" s="19"/>
      <c r="F68" s="38"/>
      <c r="G68" s="38"/>
      <c r="H68" s="38"/>
      <c r="I68" s="38"/>
      <c r="J68" s="38"/>
      <c r="L68" s="109"/>
      <c r="M68" s="110">
        <v>0.2</v>
      </c>
      <c r="N68" s="110">
        <v>0</v>
      </c>
      <c r="P68" s="111"/>
    </row>
    <row r="69" spans="2:14" ht="13.5" customHeight="1">
      <c r="B69" s="170" t="s">
        <v>158</v>
      </c>
      <c r="C69" s="108"/>
      <c r="D69" s="17"/>
      <c r="E69" s="49"/>
      <c r="F69" s="49"/>
      <c r="G69" s="49"/>
      <c r="H69" s="49"/>
      <c r="I69" s="49"/>
      <c r="J69" s="49"/>
      <c r="L69" s="109"/>
      <c r="M69" s="95" t="s">
        <v>64</v>
      </c>
      <c r="N69" s="111">
        <f>J14</f>
        <v>0</v>
      </c>
    </row>
    <row r="70" spans="2:14" ht="13.5" customHeight="1">
      <c r="B70" s="113" t="s">
        <v>159</v>
      </c>
      <c r="C70" s="108"/>
      <c r="D70" s="17" t="s">
        <v>33</v>
      </c>
      <c r="E70" s="81"/>
      <c r="F70" s="81"/>
      <c r="G70" s="81"/>
      <c r="H70" s="81"/>
      <c r="I70" s="81"/>
      <c r="J70" s="81"/>
      <c r="L70" s="104"/>
      <c r="M70" s="4" t="s">
        <v>114</v>
      </c>
      <c r="N70" s="112">
        <f>N69/(M68-N68)</f>
        <v>0</v>
      </c>
    </row>
    <row r="71" spans="2:13" ht="13.5" customHeight="1">
      <c r="B71" s="68"/>
      <c r="C71" s="108"/>
      <c r="D71" s="58"/>
      <c r="E71" s="232"/>
      <c r="F71" s="232"/>
      <c r="G71" s="18"/>
      <c r="H71" s="18"/>
      <c r="I71" s="18"/>
      <c r="J71" s="18"/>
      <c r="K71" s="18"/>
      <c r="L71" s="104"/>
      <c r="M71" s="58"/>
    </row>
    <row r="72" spans="2:13" ht="13.5" customHeight="1">
      <c r="B72" s="72" t="s">
        <v>261</v>
      </c>
      <c r="C72" s="78" t="s">
        <v>198</v>
      </c>
      <c r="D72" s="115">
        <v>0.15</v>
      </c>
      <c r="F72" s="232" t="s">
        <v>153</v>
      </c>
      <c r="G72" s="234"/>
      <c r="H72" s="81" t="s">
        <v>154</v>
      </c>
      <c r="I72" s="233"/>
      <c r="J72" s="81" t="s">
        <v>155</v>
      </c>
      <c r="K72" s="118"/>
      <c r="L72" s="104"/>
      <c r="M72" s="119"/>
    </row>
    <row r="73" spans="2:13" ht="13.5" customHeight="1">
      <c r="B73" s="68"/>
      <c r="C73" s="108"/>
      <c r="D73" s="58"/>
      <c r="E73" s="232"/>
      <c r="F73" s="232"/>
      <c r="G73" s="18"/>
      <c r="H73" s="18"/>
      <c r="I73" s="18"/>
      <c r="J73" s="18"/>
      <c r="K73" s="18"/>
      <c r="L73" s="104"/>
      <c r="M73" s="58"/>
    </row>
    <row r="75" spans="2:12" ht="13.5" customHeight="1" thickBot="1">
      <c r="B75" s="89" t="s">
        <v>160</v>
      </c>
      <c r="C75" s="184"/>
      <c r="D75" s="185"/>
      <c r="E75" s="231"/>
      <c r="F75" s="230"/>
      <c r="G75" s="58"/>
      <c r="L75" s="68"/>
    </row>
    <row r="76" spans="3:12" ht="13.5" customHeight="1">
      <c r="C76" s="3"/>
      <c r="F76" s="230"/>
      <c r="G76" s="58"/>
      <c r="L76" s="68"/>
    </row>
    <row r="77" spans="2:12" ht="13.5" customHeight="1">
      <c r="B77" s="204"/>
      <c r="C77" s="205" t="s">
        <v>162</v>
      </c>
      <c r="D77" s="206"/>
      <c r="E77" s="229"/>
      <c r="F77" s="122"/>
      <c r="L77" s="68"/>
    </row>
    <row r="78" spans="2:12" ht="13.5" customHeight="1">
      <c r="B78" s="272" t="s">
        <v>260</v>
      </c>
      <c r="C78" s="187">
        <v>300</v>
      </c>
      <c r="D78" s="187">
        <v>400</v>
      </c>
      <c r="E78" s="188">
        <v>500</v>
      </c>
      <c r="F78" s="42"/>
      <c r="G78" s="204"/>
      <c r="H78" s="208"/>
      <c r="I78" s="209" t="s">
        <v>259</v>
      </c>
      <c r="J78" s="210"/>
      <c r="L78" s="68"/>
    </row>
    <row r="79" spans="2:12" ht="13.5" customHeight="1">
      <c r="B79" s="277" t="s">
        <v>205</v>
      </c>
      <c r="C79" s="128"/>
      <c r="D79" s="128"/>
      <c r="E79" s="129"/>
      <c r="F79" s="128"/>
      <c r="G79" s="197" t="s">
        <v>167</v>
      </c>
      <c r="H79" s="50"/>
      <c r="I79" s="124" t="s">
        <v>8</v>
      </c>
      <c r="J79" s="195" t="s">
        <v>23</v>
      </c>
      <c r="L79" s="68"/>
    </row>
    <row r="80" spans="2:12" ht="13.5" customHeight="1">
      <c r="B80" s="189" t="s">
        <v>206</v>
      </c>
      <c r="C80" s="181"/>
      <c r="D80" s="181"/>
      <c r="E80" s="190"/>
      <c r="F80" s="128"/>
      <c r="G80" s="131" t="s">
        <v>190</v>
      </c>
      <c r="H80" s="42"/>
      <c r="I80" s="125" t="s">
        <v>10</v>
      </c>
      <c r="J80" s="196"/>
      <c r="L80" s="68"/>
    </row>
    <row r="81" spans="2:10" ht="13.5" customHeight="1">
      <c r="B81" s="189" t="s">
        <v>207</v>
      </c>
      <c r="C81" s="128"/>
      <c r="D81" s="128"/>
      <c r="E81" s="129"/>
      <c r="F81" s="128"/>
      <c r="G81" s="131" t="s">
        <v>191</v>
      </c>
      <c r="H81" s="42"/>
      <c r="I81" s="125"/>
      <c r="J81" s="196"/>
    </row>
    <row r="82" spans="2:16" ht="13.5" customHeight="1">
      <c r="B82" s="189" t="s">
        <v>208</v>
      </c>
      <c r="C82" s="42"/>
      <c r="D82" s="42"/>
      <c r="E82" s="221"/>
      <c r="F82" s="128"/>
      <c r="G82" s="197" t="s">
        <v>192</v>
      </c>
      <c r="H82" s="133"/>
      <c r="I82" s="198"/>
      <c r="J82" s="199"/>
      <c r="O82" s="130"/>
      <c r="P82" s="130"/>
    </row>
    <row r="83" spans="2:16" ht="13.5" customHeight="1">
      <c r="B83" s="272" t="s">
        <v>276</v>
      </c>
      <c r="C83" s="273">
        <v>0</v>
      </c>
      <c r="D83" s="273">
        <v>0.03</v>
      </c>
      <c r="E83" s="274">
        <v>0.06</v>
      </c>
      <c r="O83" s="130"/>
      <c r="P83" s="130"/>
    </row>
    <row r="84" spans="2:16" ht="13.5" customHeight="1">
      <c r="B84" s="277" t="s">
        <v>205</v>
      </c>
      <c r="C84" s="128"/>
      <c r="D84" s="128"/>
      <c r="E84" s="129"/>
      <c r="O84" s="130"/>
      <c r="P84" s="130"/>
    </row>
    <row r="85" spans="2:11" ht="13.5" customHeight="1">
      <c r="B85" s="189" t="s">
        <v>206</v>
      </c>
      <c r="C85" s="181"/>
      <c r="D85" s="181"/>
      <c r="E85" s="190"/>
      <c r="G85" s="200"/>
      <c r="H85" s="201"/>
      <c r="I85" s="202" t="s">
        <v>169</v>
      </c>
      <c r="J85" s="203"/>
      <c r="K85" s="14"/>
    </row>
    <row r="86" spans="2:11" ht="13.5" customHeight="1">
      <c r="B86" s="189" t="s">
        <v>207</v>
      </c>
      <c r="C86" s="128"/>
      <c r="D86" s="128"/>
      <c r="E86" s="129"/>
      <c r="G86" s="212"/>
      <c r="H86" s="213"/>
      <c r="I86" s="214" t="s">
        <v>184</v>
      </c>
      <c r="J86" s="215"/>
      <c r="K86" s="14"/>
    </row>
    <row r="87" spans="2:10" ht="13.5" customHeight="1">
      <c r="B87" s="189" t="s">
        <v>208</v>
      </c>
      <c r="C87" s="42"/>
      <c r="D87" s="42"/>
      <c r="E87" s="221"/>
      <c r="F87" s="58"/>
      <c r="G87" s="216" t="s">
        <v>19</v>
      </c>
      <c r="H87" s="127"/>
      <c r="I87" s="132" t="s">
        <v>8</v>
      </c>
      <c r="J87" s="217" t="s">
        <v>21</v>
      </c>
    </row>
    <row r="88" spans="2:13" ht="13.5" customHeight="1">
      <c r="B88" s="272" t="s">
        <v>258</v>
      </c>
      <c r="C88" s="275">
        <v>-0.02</v>
      </c>
      <c r="D88" s="275">
        <v>-0.01</v>
      </c>
      <c r="E88" s="276">
        <v>0</v>
      </c>
      <c r="F88" s="58"/>
      <c r="G88" s="218" t="s">
        <v>257</v>
      </c>
      <c r="H88" s="126"/>
      <c r="I88" s="125"/>
      <c r="J88" s="219"/>
      <c r="M88" s="85"/>
    </row>
    <row r="89" spans="2:13" ht="13.5" customHeight="1">
      <c r="B89" s="277" t="s">
        <v>205</v>
      </c>
      <c r="C89" s="128"/>
      <c r="D89" s="128"/>
      <c r="E89" s="129"/>
      <c r="F89" s="58"/>
      <c r="G89" s="218" t="s">
        <v>256</v>
      </c>
      <c r="H89" s="135"/>
      <c r="I89" s="125"/>
      <c r="J89" s="219"/>
      <c r="M89" s="85"/>
    </row>
    <row r="90" spans="2:13" ht="13.5" customHeight="1">
      <c r="B90" s="189" t="s">
        <v>206</v>
      </c>
      <c r="C90" s="181"/>
      <c r="D90" s="181"/>
      <c r="E90" s="190"/>
      <c r="F90" s="58"/>
      <c r="G90" s="218" t="s">
        <v>255</v>
      </c>
      <c r="H90" s="126"/>
      <c r="I90" s="125"/>
      <c r="J90" s="219"/>
      <c r="M90" s="85"/>
    </row>
    <row r="91" spans="2:13" ht="13.5" customHeight="1">
      <c r="B91" s="189" t="s">
        <v>207</v>
      </c>
      <c r="C91" s="128"/>
      <c r="D91" s="128"/>
      <c r="E91" s="129"/>
      <c r="F91" s="42"/>
      <c r="G91" s="211"/>
      <c r="H91" s="193"/>
      <c r="I91" s="193"/>
      <c r="J91" s="194"/>
      <c r="M91" s="85"/>
    </row>
    <row r="92" spans="2:13" ht="13.5" customHeight="1">
      <c r="B92" s="189" t="s">
        <v>208</v>
      </c>
      <c r="C92" s="50"/>
      <c r="D92" s="42"/>
      <c r="E92" s="223"/>
      <c r="F92" s="42"/>
      <c r="M92" s="85"/>
    </row>
    <row r="93" spans="2:13" ht="13.5" customHeight="1">
      <c r="B93" s="272" t="s">
        <v>127</v>
      </c>
      <c r="C93" s="275">
        <v>0.06</v>
      </c>
      <c r="D93" s="275">
        <v>0.03</v>
      </c>
      <c r="E93" s="276">
        <v>0</v>
      </c>
      <c r="F93" s="42"/>
      <c r="M93" s="85"/>
    </row>
    <row r="94" spans="2:13" ht="13.5" customHeight="1">
      <c r="B94" s="277" t="s">
        <v>205</v>
      </c>
      <c r="C94" s="128"/>
      <c r="D94" s="128"/>
      <c r="E94" s="129"/>
      <c r="F94" s="42"/>
      <c r="M94" s="85"/>
    </row>
    <row r="95" spans="2:13" ht="13.5" customHeight="1">
      <c r="B95" s="189" t="s">
        <v>206</v>
      </c>
      <c r="C95" s="181"/>
      <c r="D95" s="181"/>
      <c r="E95" s="190"/>
      <c r="F95" s="42"/>
      <c r="M95" s="85"/>
    </row>
    <row r="96" spans="2:13" ht="13.5" customHeight="1">
      <c r="B96" s="189" t="s">
        <v>207</v>
      </c>
      <c r="C96" s="128"/>
      <c r="D96" s="128"/>
      <c r="E96" s="129"/>
      <c r="F96" s="42"/>
      <c r="M96" s="85"/>
    </row>
    <row r="97" spans="2:13" ht="13.5" customHeight="1">
      <c r="B97" s="222" t="s">
        <v>208</v>
      </c>
      <c r="C97" s="50"/>
      <c r="D97" s="50"/>
      <c r="E97" s="223"/>
      <c r="F97" s="42"/>
      <c r="M97" s="85"/>
    </row>
    <row r="98" spans="2:13" ht="13.5" customHeight="1">
      <c r="B98" s="42"/>
      <c r="C98" s="42"/>
      <c r="D98" s="42"/>
      <c r="E98" s="42"/>
      <c r="F98" s="42"/>
      <c r="G98" s="58"/>
      <c r="H98" s="128"/>
      <c r="I98" s="126"/>
      <c r="J98" s="125"/>
      <c r="K98" s="134"/>
      <c r="M98" s="85"/>
    </row>
    <row r="100" spans="2:8" ht="13.5" customHeight="1" thickBot="1">
      <c r="B100" s="87" t="s">
        <v>185</v>
      </c>
      <c r="C100" s="88"/>
      <c r="D100" s="89"/>
      <c r="E100" s="226"/>
      <c r="F100" s="226"/>
      <c r="G100" s="226"/>
      <c r="H100" s="77"/>
    </row>
    <row r="101" spans="1:3" ht="13.5" customHeight="1">
      <c r="A101" s="84" t="s">
        <v>29</v>
      </c>
      <c r="B101" s="3" t="s">
        <v>254</v>
      </c>
      <c r="C101" s="3"/>
    </row>
    <row r="102" spans="1:3" ht="13.5" customHeight="1">
      <c r="A102" s="84" t="s">
        <v>31</v>
      </c>
      <c r="B102" s="3" t="s">
        <v>253</v>
      </c>
      <c r="C102" s="3"/>
    </row>
    <row r="103" spans="1:3" ht="13.5" customHeight="1">
      <c r="A103" s="84" t="s">
        <v>33</v>
      </c>
      <c r="B103" s="14" t="s">
        <v>252</v>
      </c>
      <c r="C103" s="3"/>
    </row>
    <row r="104" spans="1:13" ht="13.5" customHeight="1">
      <c r="A104" s="84" t="s">
        <v>34</v>
      </c>
      <c r="B104" s="220" t="s">
        <v>251</v>
      </c>
      <c r="M104" s="14"/>
    </row>
    <row r="105" spans="1:13" ht="13.5" customHeight="1">
      <c r="A105" s="14"/>
      <c r="B105" s="14" t="s">
        <v>250</v>
      </c>
      <c r="C105" s="41"/>
      <c r="D105" s="14"/>
      <c r="E105" s="14"/>
      <c r="F105" s="14"/>
      <c r="G105" s="14"/>
      <c r="H105" s="14"/>
      <c r="I105" s="14"/>
      <c r="J105" s="136"/>
      <c r="K105" s="136"/>
      <c r="L105" s="14"/>
      <c r="M105" s="14"/>
    </row>
    <row r="106" spans="1:13" ht="13.5" customHeight="1">
      <c r="A106" s="84" t="s">
        <v>35</v>
      </c>
      <c r="B106" s="14" t="s">
        <v>219</v>
      </c>
      <c r="C106" s="41"/>
      <c r="D106" s="14"/>
      <c r="E106" s="14"/>
      <c r="F106" s="14"/>
      <c r="G106" s="14"/>
      <c r="H106" s="14"/>
      <c r="I106" s="14"/>
      <c r="J106" s="136"/>
      <c r="K106" s="136"/>
      <c r="L106" s="14"/>
      <c r="M106" s="14"/>
    </row>
    <row r="107" spans="1:13" ht="13.5" customHeight="1">
      <c r="A107" s="84" t="s">
        <v>38</v>
      </c>
      <c r="B107" s="14" t="s">
        <v>249</v>
      </c>
      <c r="C107" s="41"/>
      <c r="D107" s="14"/>
      <c r="E107" s="14"/>
      <c r="F107" s="14"/>
      <c r="G107" s="14"/>
      <c r="H107" s="14"/>
      <c r="I107" s="14"/>
      <c r="J107" s="136"/>
      <c r="K107" s="136"/>
      <c r="L107" s="14"/>
      <c r="M107" s="14"/>
    </row>
    <row r="108" spans="3:11" s="14" customFormat="1" ht="13.5" customHeight="1">
      <c r="C108" s="41"/>
      <c r="J108" s="136"/>
      <c r="K108" s="41" t="str">
        <f>K52</f>
        <v>© E.M. Abascal. Sept 2011</v>
      </c>
    </row>
    <row r="109" s="14" customFormat="1" ht="13.5" customHeight="1">
      <c r="J109" s="136"/>
    </row>
    <row r="110" spans="1:15" s="14" customFormat="1" ht="13.5" customHeight="1">
      <c r="A110" s="84"/>
      <c r="C110" s="41"/>
      <c r="J110" s="136"/>
      <c r="K110" s="136"/>
      <c r="O110" s="137"/>
    </row>
    <row r="111" spans="1:11" s="14" customFormat="1" ht="13.5" customHeight="1">
      <c r="A111" s="84"/>
      <c r="C111" s="41"/>
      <c r="J111" s="136"/>
      <c r="K111" s="136"/>
    </row>
    <row r="112" spans="1:2" s="14" customFormat="1" ht="13.5" customHeight="1">
      <c r="A112" s="138"/>
      <c r="B112" s="220"/>
    </row>
    <row r="113" s="14" customFormat="1" ht="13.5" customHeight="1"/>
    <row r="114" s="14" customFormat="1" ht="13.5" customHeight="1">
      <c r="B114" s="3"/>
    </row>
    <row r="115" spans="3:11" s="14" customFormat="1" ht="13.5" customHeight="1">
      <c r="C115" s="41"/>
      <c r="J115" s="136"/>
      <c r="K115" s="136"/>
    </row>
    <row r="116" spans="1:7" s="14" customFormat="1" ht="13.5" customHeight="1">
      <c r="A116" s="136"/>
      <c r="B116" s="136"/>
      <c r="C116" s="228"/>
      <c r="D116" s="136"/>
      <c r="E116" s="136"/>
      <c r="F116" s="136"/>
      <c r="G116" s="3"/>
    </row>
    <row r="117" spans="2:7" s="14" customFormat="1" ht="13.5" customHeight="1">
      <c r="B117" s="3"/>
      <c r="C117" s="4"/>
      <c r="D117" s="3"/>
      <c r="E117" s="3"/>
      <c r="F117" s="3"/>
      <c r="G117" s="3"/>
    </row>
    <row r="118" spans="2:7" s="14" customFormat="1" ht="13.5" customHeight="1">
      <c r="B118" s="3"/>
      <c r="C118" s="4"/>
      <c r="D118" s="3"/>
      <c r="E118" s="3"/>
      <c r="F118" s="3"/>
      <c r="G118" s="3"/>
    </row>
    <row r="119" s="14" customFormat="1" ht="13.5" customHeight="1">
      <c r="G119" s="3"/>
    </row>
    <row r="120" s="140" customFormat="1" ht="13.5" customHeight="1">
      <c r="G120" s="139"/>
    </row>
    <row r="121" s="14" customFormat="1" ht="13.5" customHeight="1"/>
    <row r="122" s="14" customFormat="1" ht="13.5" customHeight="1"/>
    <row r="123" s="14" customFormat="1" ht="13.5" customHeight="1"/>
    <row r="124" s="14" customFormat="1" ht="13.5" customHeight="1">
      <c r="G124" s="3"/>
    </row>
    <row r="125" s="14" customFormat="1" ht="13.5" customHeight="1">
      <c r="C125" s="41"/>
    </row>
    <row r="126" s="14" customFormat="1" ht="13.5" customHeight="1">
      <c r="C126" s="41"/>
    </row>
    <row r="128" spans="12:14" ht="13.5" customHeight="1">
      <c r="L128" s="136"/>
      <c r="M128" s="136"/>
      <c r="N128" s="136"/>
    </row>
  </sheetData>
  <sheetProtection/>
  <printOptions headings="1"/>
  <pageMargins left="0.7480314960629921" right="0.2362204724409449" top="0.6299212598425197" bottom="0.6299212598425197" header="0.5118110236220472" footer="0.5118110236220472"/>
  <pageSetup horizontalDpi="1200" verticalDpi="1200" orientation="portrait" paperSize="9" scale="89" r:id="rId3"/>
  <rowBreaks count="1" manualBreakCount="1">
    <brk id="52" max="10" man="1"/>
  </rowBreaks>
  <legacyDrawing r:id="rId2"/>
</worksheet>
</file>

<file path=xl/worksheets/sheet7.xml><?xml version="1.0" encoding="utf-8"?>
<worksheet xmlns="http://schemas.openxmlformats.org/spreadsheetml/2006/main" xmlns:r="http://schemas.openxmlformats.org/officeDocument/2006/relationships">
  <dimension ref="A1:O54"/>
  <sheetViews>
    <sheetView view="pageBreakPreview" zoomScaleNormal="110" zoomScaleSheetLayoutView="100" workbookViewId="0" topLeftCell="A1">
      <selection activeCell="O14" sqref="O14"/>
    </sheetView>
  </sheetViews>
  <sheetFormatPr defaultColWidth="9.125" defaultRowHeight="12" outlineLevelRow="1"/>
  <cols>
    <col min="1" max="1" width="24.375" style="23" customWidth="1"/>
    <col min="2" max="2" width="5.00390625" style="23" customWidth="1"/>
    <col min="3" max="6" width="7.75390625" style="23" customWidth="1"/>
    <col min="7" max="7" width="3.375" style="23" customWidth="1"/>
    <col min="8" max="8" width="8.75390625" style="23" customWidth="1"/>
    <col min="9" max="9" width="8.25390625" style="23" customWidth="1"/>
    <col min="10" max="10" width="7.25390625" style="23" customWidth="1"/>
    <col min="11" max="11" width="6.25390625" style="23" customWidth="1"/>
    <col min="12" max="12" width="7.875" style="23" customWidth="1"/>
    <col min="13" max="16384" width="9.125" style="23" customWidth="1"/>
  </cols>
  <sheetData>
    <row r="1" spans="1:8" ht="12.75" thickBot="1">
      <c r="A1" s="312" t="s">
        <v>313</v>
      </c>
      <c r="B1" s="297"/>
      <c r="C1" s="311">
        <v>1</v>
      </c>
      <c r="D1" s="311">
        <v>2</v>
      </c>
      <c r="E1" s="311">
        <v>3</v>
      </c>
      <c r="F1" s="311">
        <v>4</v>
      </c>
      <c r="H1" s="335" t="s">
        <v>28</v>
      </c>
    </row>
    <row r="2" spans="1:8" ht="12" customHeight="1">
      <c r="A2" s="303" t="s">
        <v>0</v>
      </c>
      <c r="B2" s="68"/>
      <c r="C2" s="301">
        <f>H2</f>
        <v>100</v>
      </c>
      <c r="D2" s="301">
        <v>120</v>
      </c>
      <c r="E2" s="301">
        <v>140</v>
      </c>
      <c r="F2" s="301">
        <v>140</v>
      </c>
      <c r="H2" s="333">
        <v>100</v>
      </c>
    </row>
    <row r="3" spans="1:8" ht="12" customHeight="1">
      <c r="A3" s="334" t="s">
        <v>11</v>
      </c>
      <c r="B3" s="68"/>
      <c r="C3" s="320">
        <f>$H3*C2</f>
        <v>75</v>
      </c>
      <c r="D3" s="320">
        <f>$H3*D2</f>
        <v>90</v>
      </c>
      <c r="E3" s="320">
        <f>$H3*E2</f>
        <v>105</v>
      </c>
      <c r="F3" s="320">
        <f>$H3*F2</f>
        <v>105</v>
      </c>
      <c r="H3" s="326">
        <v>0.75</v>
      </c>
    </row>
    <row r="4" spans="1:8" ht="12" customHeight="1">
      <c r="A4" s="303" t="s">
        <v>30</v>
      </c>
      <c r="B4" s="68"/>
      <c r="C4" s="301">
        <f>C2-C3</f>
        <v>25</v>
      </c>
      <c r="D4" s="301">
        <f>D2-D3</f>
        <v>30</v>
      </c>
      <c r="E4" s="301">
        <f>E2-E3</f>
        <v>35</v>
      </c>
      <c r="F4" s="301">
        <f>F2-F3</f>
        <v>35</v>
      </c>
      <c r="H4" s="327"/>
    </row>
    <row r="5" spans="1:12" ht="12" customHeight="1">
      <c r="A5" s="303" t="s">
        <v>312</v>
      </c>
      <c r="B5" s="68"/>
      <c r="C5" s="320">
        <v>5</v>
      </c>
      <c r="D5" s="320">
        <v>5</v>
      </c>
      <c r="E5" s="320">
        <v>5</v>
      </c>
      <c r="F5" s="320">
        <v>5</v>
      </c>
      <c r="H5" s="333">
        <v>5</v>
      </c>
      <c r="L5" s="338" t="s">
        <v>336</v>
      </c>
    </row>
    <row r="6" spans="1:8" ht="12" customHeight="1">
      <c r="A6" s="303" t="s">
        <v>7</v>
      </c>
      <c r="B6" s="68"/>
      <c r="C6" s="301">
        <f>C4-C5</f>
        <v>20</v>
      </c>
      <c r="D6" s="301">
        <f>D4-D5</f>
        <v>25</v>
      </c>
      <c r="E6" s="301">
        <f>E4-E5</f>
        <v>30</v>
      </c>
      <c r="F6" s="301">
        <f>F4-F5</f>
        <v>30</v>
      </c>
      <c r="H6" s="327"/>
    </row>
    <row r="7" spans="1:8" ht="12" customHeight="1">
      <c r="A7" s="303" t="s">
        <v>12</v>
      </c>
      <c r="B7" s="68"/>
      <c r="C7" s="320">
        <f>$B$20*H7</f>
        <v>10</v>
      </c>
      <c r="D7" s="320">
        <f>$B$20*H7</f>
        <v>10</v>
      </c>
      <c r="E7" s="320">
        <f>$B$20*H7+20*0.25</f>
        <v>15</v>
      </c>
      <c r="F7" s="320">
        <f>$B$20*H7+20*0.25</f>
        <v>15</v>
      </c>
      <c r="H7" s="326">
        <v>0.25</v>
      </c>
    </row>
    <row r="8" spans="1:8" ht="12" customHeight="1">
      <c r="A8" s="303" t="s">
        <v>15</v>
      </c>
      <c r="B8" s="68"/>
      <c r="C8" s="301">
        <f>C6-C7</f>
        <v>10</v>
      </c>
      <c r="D8" s="301">
        <f>D6-D7</f>
        <v>15</v>
      </c>
      <c r="E8" s="301">
        <f>E6-E7</f>
        <v>15</v>
      </c>
      <c r="F8" s="301">
        <f>F6-F7</f>
        <v>15</v>
      </c>
      <c r="H8" s="327"/>
    </row>
    <row r="9" spans="1:8" ht="12" customHeight="1">
      <c r="A9" s="303" t="s">
        <v>311</v>
      </c>
      <c r="B9" s="68"/>
      <c r="C9" s="332">
        <f>$H9*B23</f>
        <v>1</v>
      </c>
      <c r="D9" s="332">
        <f>$H9*C23</f>
        <v>0.75</v>
      </c>
      <c r="E9" s="332">
        <f>$H9*D23</f>
        <v>0.5</v>
      </c>
      <c r="F9" s="332">
        <f>$H9*E23</f>
        <v>0.25</v>
      </c>
      <c r="H9" s="326">
        <v>0.05</v>
      </c>
    </row>
    <row r="10" spans="1:12" ht="12" customHeight="1">
      <c r="A10" s="303" t="s">
        <v>310</v>
      </c>
      <c r="B10" s="68"/>
      <c r="C10" s="301">
        <f>C8-C9</f>
        <v>9</v>
      </c>
      <c r="D10" s="301">
        <f>D8-D9</f>
        <v>14.25</v>
      </c>
      <c r="E10" s="301">
        <f>E8-E9</f>
        <v>14.5</v>
      </c>
      <c r="F10" s="301">
        <f>F8-F9</f>
        <v>14.75</v>
      </c>
      <c r="H10" s="327"/>
      <c r="L10" s="338" t="s">
        <v>337</v>
      </c>
    </row>
    <row r="11" spans="1:8" ht="12" customHeight="1">
      <c r="A11" s="303" t="s">
        <v>309</v>
      </c>
      <c r="B11" s="68"/>
      <c r="C11" s="320">
        <f>$H11*C10</f>
        <v>2.6999999999999997</v>
      </c>
      <c r="D11" s="320">
        <f>$H11*D10</f>
        <v>4.2749999999999995</v>
      </c>
      <c r="E11" s="320">
        <f>$H11*E10</f>
        <v>4.35</v>
      </c>
      <c r="F11" s="320">
        <f>$H11*F10</f>
        <v>4.425</v>
      </c>
      <c r="H11" s="326">
        <v>0.3</v>
      </c>
    </row>
    <row r="12" spans="1:8" ht="12" customHeight="1">
      <c r="A12" s="303" t="s">
        <v>290</v>
      </c>
      <c r="B12" s="68"/>
      <c r="C12" s="301">
        <f>C10-C11</f>
        <v>6.300000000000001</v>
      </c>
      <c r="D12" s="301">
        <f>D10-D11</f>
        <v>9.975000000000001</v>
      </c>
      <c r="E12" s="301">
        <f>E10-E11</f>
        <v>10.15</v>
      </c>
      <c r="F12" s="301">
        <f>F10-F11</f>
        <v>10.325</v>
      </c>
      <c r="H12" s="327"/>
    </row>
    <row r="13" spans="1:8" ht="12" customHeight="1">
      <c r="A13" s="303"/>
      <c r="B13" s="68"/>
      <c r="C13" s="301"/>
      <c r="D13" s="301"/>
      <c r="E13" s="301"/>
      <c r="F13" s="301"/>
      <c r="H13" s="327"/>
    </row>
    <row r="14" spans="1:8" ht="12" customHeight="1">
      <c r="A14" s="101" t="s">
        <v>308</v>
      </c>
      <c r="B14" s="68"/>
      <c r="C14" s="330">
        <v>0</v>
      </c>
      <c r="D14" s="331">
        <v>20</v>
      </c>
      <c r="E14" s="330">
        <v>0</v>
      </c>
      <c r="F14" s="330">
        <v>0</v>
      </c>
      <c r="H14" s="327"/>
    </row>
    <row r="15" spans="1:8" ht="12" customHeight="1">
      <c r="A15" s="101" t="s">
        <v>307</v>
      </c>
      <c r="B15" s="68"/>
      <c r="C15" s="328">
        <f>C8/C21</f>
        <v>0.2</v>
      </c>
      <c r="D15" s="328">
        <f>D8/D21</f>
        <v>0.234375</v>
      </c>
      <c r="E15" s="328">
        <f>E8/E21</f>
        <v>0.2830188679245283</v>
      </c>
      <c r="F15" s="329" t="s">
        <v>176</v>
      </c>
      <c r="H15" s="327"/>
    </row>
    <row r="16" spans="1:8" ht="12" customHeight="1">
      <c r="A16" s="101" t="s">
        <v>306</v>
      </c>
      <c r="C16" s="328">
        <f>C12/C24</f>
        <v>0.1735537190082645</v>
      </c>
      <c r="D16" s="328">
        <f>D12/D24</f>
        <v>0.2155591572123177</v>
      </c>
      <c r="E16" s="328">
        <f>E12/E24</f>
        <v>0.17988480283562253</v>
      </c>
      <c r="F16" s="328">
        <f>F12/F24</f>
        <v>0.15468164794007488</v>
      </c>
      <c r="H16" s="327"/>
    </row>
    <row r="17" ht="12">
      <c r="A17" s="303"/>
    </row>
    <row r="18" spans="1:6" ht="12.75" thickBot="1">
      <c r="A18" s="312" t="s">
        <v>305</v>
      </c>
      <c r="B18" s="311">
        <v>0</v>
      </c>
      <c r="C18" s="311">
        <v>1</v>
      </c>
      <c r="D18" s="311">
        <v>2</v>
      </c>
      <c r="E18" s="311">
        <v>3</v>
      </c>
      <c r="F18" s="311">
        <v>4</v>
      </c>
    </row>
    <row r="19" spans="1:8" ht="12">
      <c r="A19" s="303" t="s">
        <v>2</v>
      </c>
      <c r="B19" s="23">
        <v>0</v>
      </c>
      <c r="C19" s="23">
        <f>0.2*C2</f>
        <v>20</v>
      </c>
      <c r="D19" s="23">
        <v>24</v>
      </c>
      <c r="E19" s="23">
        <v>28</v>
      </c>
      <c r="F19" s="23">
        <v>0</v>
      </c>
      <c r="H19" s="326">
        <v>0.2</v>
      </c>
    </row>
    <row r="20" spans="1:6" ht="12">
      <c r="A20" s="303" t="s">
        <v>304</v>
      </c>
      <c r="B20" s="321">
        <v>40</v>
      </c>
      <c r="C20" s="320">
        <f>B20-C7+C14</f>
        <v>30</v>
      </c>
      <c r="D20" s="320">
        <f>C20-D7+D14</f>
        <v>40</v>
      </c>
      <c r="E20" s="320">
        <f>D20-E7+E14</f>
        <v>25</v>
      </c>
      <c r="F20" s="320">
        <v>0</v>
      </c>
    </row>
    <row r="21" spans="1:6" ht="12">
      <c r="A21" s="303" t="s">
        <v>303</v>
      </c>
      <c r="B21" s="23">
        <f>B19+B20</f>
        <v>40</v>
      </c>
      <c r="C21" s="23">
        <f>C19+C20</f>
        <v>50</v>
      </c>
      <c r="D21" s="23">
        <f>D19+D20</f>
        <v>64</v>
      </c>
      <c r="E21" s="23">
        <f>E19+E20</f>
        <v>53</v>
      </c>
      <c r="F21" s="23">
        <f>F19+F20</f>
        <v>0</v>
      </c>
    </row>
    <row r="22" spans="1:15" ht="11.25" customHeight="1">
      <c r="A22" s="303"/>
      <c r="L22" s="325" t="s">
        <v>302</v>
      </c>
      <c r="M22" s="325" t="s">
        <v>301</v>
      </c>
      <c r="N22" s="325" t="s">
        <v>22</v>
      </c>
      <c r="O22" s="325" t="s">
        <v>300</v>
      </c>
    </row>
    <row r="23" spans="1:15" ht="12">
      <c r="A23" s="303" t="s">
        <v>299</v>
      </c>
      <c r="B23" s="324">
        <v>20</v>
      </c>
      <c r="C23" s="23">
        <f>B23+$H23</f>
        <v>15</v>
      </c>
      <c r="D23" s="23">
        <f>C23+$H23</f>
        <v>10</v>
      </c>
      <c r="E23" s="23">
        <f>D23+$H23</f>
        <v>5</v>
      </c>
      <c r="F23" s="23">
        <f>E23+$H23</f>
        <v>0</v>
      </c>
      <c r="H23" s="323">
        <f>-B23/4</f>
        <v>-5</v>
      </c>
      <c r="K23" s="23" t="s">
        <v>298</v>
      </c>
      <c r="L23" s="315">
        <f>SUM(B23:F23)/5</f>
        <v>10</v>
      </c>
      <c r="M23" s="317">
        <f>L23/L25</f>
        <v>0.17497812773403326</v>
      </c>
      <c r="N23" s="322">
        <f>5%*0.7</f>
        <v>0.034999999999999996</v>
      </c>
      <c r="O23" s="313">
        <f>M23*N23</f>
        <v>0.006124234470691163</v>
      </c>
    </row>
    <row r="24" spans="1:15" ht="12">
      <c r="A24" s="303" t="s">
        <v>297</v>
      </c>
      <c r="B24" s="321">
        <v>30</v>
      </c>
      <c r="C24" s="320">
        <f>B24+C12</f>
        <v>36.3</v>
      </c>
      <c r="D24" s="320">
        <f>C24+D12</f>
        <v>46.275</v>
      </c>
      <c r="E24" s="320">
        <f>D24+E12</f>
        <v>56.425</v>
      </c>
      <c r="F24" s="320">
        <f>E24+F12</f>
        <v>66.75</v>
      </c>
      <c r="K24" s="23" t="s">
        <v>296</v>
      </c>
      <c r="L24" s="319">
        <f>SUM(B24:F24)/5</f>
        <v>47.15</v>
      </c>
      <c r="M24" s="318">
        <f>L24/L25</f>
        <v>0.8250218722659668</v>
      </c>
      <c r="N24" s="317">
        <f>15%</f>
        <v>0.15</v>
      </c>
      <c r="O24" s="316">
        <f>M24*N24</f>
        <v>0.12375328083989501</v>
      </c>
    </row>
    <row r="25" spans="1:15" ht="12">
      <c r="A25" s="303" t="s">
        <v>295</v>
      </c>
      <c r="B25" s="301">
        <f>B23+B24</f>
        <v>50</v>
      </c>
      <c r="C25" s="301">
        <f>C23+C24</f>
        <v>51.3</v>
      </c>
      <c r="D25" s="301">
        <f>D23+D24</f>
        <v>56.275</v>
      </c>
      <c r="E25" s="301">
        <f>E23+E24</f>
        <v>61.425</v>
      </c>
      <c r="F25" s="301">
        <f>F23+F24</f>
        <v>66.75</v>
      </c>
      <c r="K25" s="23" t="s">
        <v>53</v>
      </c>
      <c r="L25" s="315">
        <f>L23+L24</f>
        <v>57.15</v>
      </c>
      <c r="M25" s="314">
        <f>M23+M24</f>
        <v>1</v>
      </c>
      <c r="O25" s="313">
        <f>O23+O24</f>
        <v>0.12987751531058617</v>
      </c>
    </row>
    <row r="26" spans="1:11" ht="12">
      <c r="A26" s="303"/>
      <c r="B26" s="301"/>
      <c r="C26" s="301"/>
      <c r="D26" s="301"/>
      <c r="E26" s="301"/>
      <c r="F26" s="301"/>
      <c r="H26" s="315"/>
      <c r="I26" s="314"/>
      <c r="K26" s="313"/>
    </row>
    <row r="27" spans="1:6" ht="12">
      <c r="A27" s="281" t="s">
        <v>294</v>
      </c>
      <c r="B27" s="301">
        <f>B25-B21</f>
        <v>10</v>
      </c>
      <c r="C27" s="301">
        <f>C25-C21</f>
        <v>1.2999999999999972</v>
      </c>
      <c r="D27" s="301">
        <f>D25-D21</f>
        <v>-7.725000000000001</v>
      </c>
      <c r="E27" s="301">
        <f>E25-E21</f>
        <v>8.424999999999997</v>
      </c>
      <c r="F27" s="301">
        <f>F25-F21</f>
        <v>66.75</v>
      </c>
    </row>
    <row r="28" spans="1:6" ht="12">
      <c r="A28" s="281" t="s">
        <v>293</v>
      </c>
      <c r="B28" s="301">
        <f>-B24+B27</f>
        <v>-20</v>
      </c>
      <c r="C28" s="301">
        <f>C27-B27</f>
        <v>-8.700000000000003</v>
      </c>
      <c r="D28" s="301">
        <f>D27-C27</f>
        <v>-9.024999999999999</v>
      </c>
      <c r="E28" s="301">
        <f>E27-D27</f>
        <v>16.15</v>
      </c>
      <c r="F28" s="301">
        <f>F27-E27</f>
        <v>58.325</v>
      </c>
    </row>
    <row r="29" ht="12">
      <c r="A29" s="281"/>
    </row>
    <row r="30" spans="1:8" ht="12.75" thickBot="1">
      <c r="A30" s="312" t="s">
        <v>292</v>
      </c>
      <c r="B30" s="311">
        <v>0</v>
      </c>
      <c r="C30" s="311">
        <v>1</v>
      </c>
      <c r="D30" s="311">
        <v>2</v>
      </c>
      <c r="E30" s="311">
        <v>3</v>
      </c>
      <c r="F30" s="311">
        <v>4</v>
      </c>
      <c r="H30" s="310" t="s">
        <v>291</v>
      </c>
    </row>
    <row r="31" spans="1:10" ht="12">
      <c r="A31" s="303" t="s">
        <v>290</v>
      </c>
      <c r="C31" s="301">
        <f>C12</f>
        <v>6.300000000000001</v>
      </c>
      <c r="D31" s="301">
        <f>D12</f>
        <v>9.975000000000001</v>
      </c>
      <c r="E31" s="301">
        <f>E12</f>
        <v>10.15</v>
      </c>
      <c r="F31" s="301">
        <f>F12</f>
        <v>10.325</v>
      </c>
      <c r="H31" s="304">
        <f aca="true" t="shared" si="0" ref="H31:H37">SUM(B31:F31)</f>
        <v>36.75</v>
      </c>
      <c r="J31" s="301"/>
    </row>
    <row r="32" spans="1:10" ht="12" hidden="1" outlineLevel="1">
      <c r="A32" s="306" t="s">
        <v>288</v>
      </c>
      <c r="C32" s="301">
        <f>C7</f>
        <v>10</v>
      </c>
      <c r="D32" s="301">
        <f>D7</f>
        <v>10</v>
      </c>
      <c r="E32" s="301">
        <f>E7</f>
        <v>15</v>
      </c>
      <c r="F32" s="301">
        <f>F7</f>
        <v>15</v>
      </c>
      <c r="H32" s="304">
        <f t="shared" si="0"/>
        <v>50</v>
      </c>
      <c r="J32" s="301"/>
    </row>
    <row r="33" spans="1:10" ht="12" hidden="1" outlineLevel="1">
      <c r="A33" s="306" t="s">
        <v>287</v>
      </c>
      <c r="C33" s="301">
        <f>-(C20-B20+C32)</f>
        <v>0</v>
      </c>
      <c r="D33" s="301">
        <f>-(D20-C20+D32)</f>
        <v>-20</v>
      </c>
      <c r="E33" s="301">
        <f>-(E20-D20+E32)</f>
        <v>0</v>
      </c>
      <c r="F33" s="301">
        <f>-(F20-E20+F32)</f>
        <v>10</v>
      </c>
      <c r="H33" s="304">
        <f t="shared" si="0"/>
        <v>-10</v>
      </c>
      <c r="I33" s="309"/>
      <c r="J33" s="301"/>
    </row>
    <row r="34" spans="1:10" ht="12" hidden="1" outlineLevel="1">
      <c r="A34" s="306" t="s">
        <v>286</v>
      </c>
      <c r="C34" s="301">
        <f>B19-C19</f>
        <v>-20</v>
      </c>
      <c r="D34" s="301">
        <f>C19-D19</f>
        <v>-4</v>
      </c>
      <c r="E34" s="301">
        <f>D19-E19</f>
        <v>-4</v>
      </c>
      <c r="F34" s="301">
        <f>E19-F19</f>
        <v>28</v>
      </c>
      <c r="H34" s="304">
        <f t="shared" si="0"/>
        <v>0</v>
      </c>
      <c r="I34" s="308"/>
      <c r="J34" s="301"/>
    </row>
    <row r="35" spans="1:10" ht="12" collapsed="1">
      <c r="A35" s="303" t="s">
        <v>283</v>
      </c>
      <c r="B35" s="23">
        <f>-B20</f>
        <v>-40</v>
      </c>
      <c r="C35" s="23">
        <f>B21-C21</f>
        <v>-10</v>
      </c>
      <c r="D35" s="23">
        <f>C21-D21</f>
        <v>-14</v>
      </c>
      <c r="E35" s="23">
        <f>D21-E21</f>
        <v>11</v>
      </c>
      <c r="F35" s="23">
        <f>E21-F21</f>
        <v>53</v>
      </c>
      <c r="H35" s="304">
        <f t="shared" si="0"/>
        <v>0</v>
      </c>
      <c r="J35" s="301"/>
    </row>
    <row r="36" spans="1:10" ht="12">
      <c r="A36" s="303" t="s">
        <v>289</v>
      </c>
      <c r="B36" s="302">
        <f>B23</f>
        <v>20</v>
      </c>
      <c r="C36" s="302">
        <f>C23-B23</f>
        <v>-5</v>
      </c>
      <c r="D36" s="302">
        <f>D23-C23</f>
        <v>-5</v>
      </c>
      <c r="E36" s="302">
        <f>E23-D23</f>
        <v>-5</v>
      </c>
      <c r="F36" s="302">
        <f>F23-E23</f>
        <v>-5</v>
      </c>
      <c r="H36" s="305">
        <f t="shared" si="0"/>
        <v>0</v>
      </c>
      <c r="J36" s="301"/>
    </row>
    <row r="37" spans="1:10" ht="12">
      <c r="A37" s="300" t="s">
        <v>65</v>
      </c>
      <c r="B37" s="307">
        <f>B31+B35+B36</f>
        <v>-20</v>
      </c>
      <c r="C37" s="307">
        <f>C31+C35+C36</f>
        <v>-8.7</v>
      </c>
      <c r="D37" s="307">
        <f>D31+D35+D36</f>
        <v>-9.024999999999999</v>
      </c>
      <c r="E37" s="307">
        <f>E31+E35+E36</f>
        <v>16.15</v>
      </c>
      <c r="F37" s="307">
        <f>F31+F35+F36</f>
        <v>58.325</v>
      </c>
      <c r="H37" s="304">
        <f t="shared" si="0"/>
        <v>36.75000000000001</v>
      </c>
      <c r="J37" s="301"/>
    </row>
    <row r="38" spans="1:10" ht="12">
      <c r="A38" s="303"/>
      <c r="H38" s="66"/>
      <c r="J38" s="301"/>
    </row>
    <row r="39" spans="1:10" ht="12">
      <c r="A39" s="303" t="s">
        <v>15</v>
      </c>
      <c r="C39" s="301">
        <f>C8</f>
        <v>10</v>
      </c>
      <c r="D39" s="301">
        <f>D8</f>
        <v>15</v>
      </c>
      <c r="E39" s="301">
        <f>E8</f>
        <v>15</v>
      </c>
      <c r="F39" s="301">
        <f>F8</f>
        <v>15</v>
      </c>
      <c r="H39" s="304">
        <f aca="true" t="shared" si="1" ref="H39:H44">SUM(B39:F39)</f>
        <v>55</v>
      </c>
      <c r="J39" s="301"/>
    </row>
    <row r="40" spans="1:10" ht="12" hidden="1" outlineLevel="1">
      <c r="A40" s="306" t="s">
        <v>288</v>
      </c>
      <c r="C40" s="301">
        <f aca="true" t="shared" si="2" ref="C40:F43">C32</f>
        <v>10</v>
      </c>
      <c r="D40" s="301">
        <f t="shared" si="2"/>
        <v>10</v>
      </c>
      <c r="E40" s="301">
        <f t="shared" si="2"/>
        <v>15</v>
      </c>
      <c r="F40" s="301">
        <f t="shared" si="2"/>
        <v>15</v>
      </c>
      <c r="H40" s="304">
        <f t="shared" si="1"/>
        <v>50</v>
      </c>
      <c r="J40" s="301"/>
    </row>
    <row r="41" spans="1:10" ht="12" hidden="1" outlineLevel="1">
      <c r="A41" s="306" t="s">
        <v>287</v>
      </c>
      <c r="C41" s="301">
        <f t="shared" si="2"/>
        <v>0</v>
      </c>
      <c r="D41" s="301">
        <f t="shared" si="2"/>
        <v>-20</v>
      </c>
      <c r="E41" s="301">
        <f t="shared" si="2"/>
        <v>0</v>
      </c>
      <c r="F41" s="301">
        <f t="shared" si="2"/>
        <v>10</v>
      </c>
      <c r="H41" s="304">
        <f t="shared" si="1"/>
        <v>-10</v>
      </c>
      <c r="J41" s="301"/>
    </row>
    <row r="42" spans="1:10" ht="12" hidden="1" outlineLevel="1">
      <c r="A42" s="306" t="s">
        <v>286</v>
      </c>
      <c r="C42" s="301">
        <f t="shared" si="2"/>
        <v>-20</v>
      </c>
      <c r="D42" s="301">
        <f t="shared" si="2"/>
        <v>-4</v>
      </c>
      <c r="E42" s="301">
        <f t="shared" si="2"/>
        <v>-4</v>
      </c>
      <c r="F42" s="301">
        <f t="shared" si="2"/>
        <v>28</v>
      </c>
      <c r="H42" s="304">
        <f t="shared" si="1"/>
        <v>0</v>
      </c>
      <c r="J42" s="301"/>
    </row>
    <row r="43" spans="1:10" ht="12" collapsed="1">
      <c r="A43" s="303" t="s">
        <v>283</v>
      </c>
      <c r="B43" s="302">
        <f>B35</f>
        <v>-40</v>
      </c>
      <c r="C43" s="302">
        <f t="shared" si="2"/>
        <v>-10</v>
      </c>
      <c r="D43" s="302">
        <f t="shared" si="2"/>
        <v>-14</v>
      </c>
      <c r="E43" s="302">
        <f t="shared" si="2"/>
        <v>11</v>
      </c>
      <c r="F43" s="302">
        <f t="shared" si="2"/>
        <v>53</v>
      </c>
      <c r="H43" s="305">
        <f t="shared" si="1"/>
        <v>0</v>
      </c>
      <c r="J43" s="301"/>
    </row>
    <row r="44" spans="1:10" ht="12">
      <c r="A44" s="300" t="s">
        <v>285</v>
      </c>
      <c r="B44" s="23">
        <f>B39+B43</f>
        <v>-40</v>
      </c>
      <c r="C44" s="23">
        <f>C39+C43</f>
        <v>0</v>
      </c>
      <c r="D44" s="23">
        <f>D39+D43</f>
        <v>1</v>
      </c>
      <c r="E44" s="23">
        <f>E39+E43</f>
        <v>26</v>
      </c>
      <c r="F44" s="23">
        <f>F39+F43</f>
        <v>68</v>
      </c>
      <c r="H44" s="304">
        <f t="shared" si="1"/>
        <v>55</v>
      </c>
      <c r="J44" s="301"/>
    </row>
    <row r="45" ht="12">
      <c r="A45" s="300"/>
    </row>
    <row r="46" spans="1:6" ht="12">
      <c r="A46" s="303" t="s">
        <v>284</v>
      </c>
      <c r="C46" s="23">
        <f>C39*0.7</f>
        <v>7</v>
      </c>
      <c r="D46" s="301">
        <f>D39*0.7</f>
        <v>10.5</v>
      </c>
      <c r="E46" s="301">
        <f>E39*0.7</f>
        <v>10.5</v>
      </c>
      <c r="F46" s="301">
        <f>F39*0.7</f>
        <v>10.5</v>
      </c>
    </row>
    <row r="47" spans="1:6" ht="12">
      <c r="A47" s="303" t="s">
        <v>283</v>
      </c>
      <c r="B47" s="302">
        <f>B43</f>
        <v>-40</v>
      </c>
      <c r="C47" s="302">
        <f>C43</f>
        <v>-10</v>
      </c>
      <c r="D47" s="302">
        <f>D43</f>
        <v>-14</v>
      </c>
      <c r="E47" s="302">
        <f>E43</f>
        <v>11</v>
      </c>
      <c r="F47" s="302">
        <f>F43</f>
        <v>53</v>
      </c>
    </row>
    <row r="48" spans="1:6" ht="12">
      <c r="A48" s="300" t="s">
        <v>93</v>
      </c>
      <c r="B48" s="23">
        <f>B46+B47</f>
        <v>-40</v>
      </c>
      <c r="C48" s="23">
        <f>C46+C47</f>
        <v>-3</v>
      </c>
      <c r="D48" s="301">
        <f>D46+D47</f>
        <v>-3.5</v>
      </c>
      <c r="E48" s="301">
        <f>E46+E47</f>
        <v>21.5</v>
      </c>
      <c r="F48" s="301">
        <f>F46+F47</f>
        <v>63.5</v>
      </c>
    </row>
    <row r="49" ht="12">
      <c r="A49" s="300"/>
    </row>
    <row r="51" spans="3:4" ht="12">
      <c r="C51" s="297" t="s">
        <v>282</v>
      </c>
      <c r="D51" s="299">
        <v>0.15</v>
      </c>
    </row>
    <row r="52" spans="3:8" ht="12">
      <c r="C52" s="297" t="s">
        <v>281</v>
      </c>
      <c r="D52" s="296">
        <f>IRR(B37:F37)</f>
        <v>0.24301767808587624</v>
      </c>
      <c r="G52" s="297" t="s">
        <v>280</v>
      </c>
      <c r="H52" s="298">
        <f>NPV(D51,C37:F37)</f>
        <v>29.576981214332438</v>
      </c>
    </row>
    <row r="53" spans="3:8" ht="12">
      <c r="C53" s="297" t="s">
        <v>279</v>
      </c>
      <c r="D53" s="296">
        <f>IRR(B44:F44)</f>
        <v>0.2652079067651983</v>
      </c>
      <c r="G53" s="297" t="s">
        <v>278</v>
      </c>
      <c r="H53" s="298">
        <f>H52+B37</f>
        <v>9.576981214332438</v>
      </c>
    </row>
    <row r="54" spans="3:8" ht="12">
      <c r="C54" s="297" t="s">
        <v>277</v>
      </c>
      <c r="D54" s="296">
        <f>IRR(B48:F48)</f>
        <v>0.1857399526414103</v>
      </c>
      <c r="H54" s="295"/>
    </row>
  </sheetData>
  <sheetProtection selectLockedCells="1" selectUnlockedCells="1"/>
  <printOptions headings="1"/>
  <pageMargins left="0.7480314960629921" right="0.7480314960629921" top="0.984251968503937" bottom="0.984251968503937" header="0.5118110236220472" footer="0.511811023622047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O54"/>
  <sheetViews>
    <sheetView view="pageBreakPreview" zoomScaleNormal="110" zoomScaleSheetLayoutView="100" workbookViewId="0" topLeftCell="A1">
      <selection activeCell="K60" sqref="K60"/>
    </sheetView>
  </sheetViews>
  <sheetFormatPr defaultColWidth="9.125" defaultRowHeight="12" outlineLevelRow="1"/>
  <cols>
    <col min="1" max="1" width="24.375" style="23" customWidth="1"/>
    <col min="2" max="2" width="5.00390625" style="23" customWidth="1"/>
    <col min="3" max="6" width="7.75390625" style="23" customWidth="1"/>
    <col min="7" max="7" width="3.375" style="23" customWidth="1"/>
    <col min="8" max="8" width="8.75390625" style="23" customWidth="1"/>
    <col min="9" max="9" width="8.25390625" style="23" customWidth="1"/>
    <col min="10" max="10" width="7.25390625" style="23" customWidth="1"/>
    <col min="11" max="11" width="6.25390625" style="23" customWidth="1"/>
    <col min="12" max="12" width="7.875" style="23" customWidth="1"/>
    <col min="13" max="16384" width="9.125" style="23" customWidth="1"/>
  </cols>
  <sheetData>
    <row r="1" spans="1:8" ht="12.75" thickBot="1">
      <c r="A1" s="312" t="s">
        <v>13</v>
      </c>
      <c r="B1" s="297"/>
      <c r="C1" s="311">
        <v>1</v>
      </c>
      <c r="D1" s="311">
        <v>2</v>
      </c>
      <c r="E1" s="311">
        <v>3</v>
      </c>
      <c r="F1" s="311">
        <v>4</v>
      </c>
      <c r="H1" s="335" t="s">
        <v>133</v>
      </c>
    </row>
    <row r="2" spans="1:8" ht="12" customHeight="1">
      <c r="A2" s="303" t="s">
        <v>4</v>
      </c>
      <c r="B2" s="68"/>
      <c r="C2" s="301">
        <f>H2</f>
        <v>100</v>
      </c>
      <c r="D2" s="301">
        <v>120</v>
      </c>
      <c r="E2" s="301">
        <v>140</v>
      </c>
      <c r="F2" s="301">
        <v>140</v>
      </c>
      <c r="H2" s="333">
        <v>100</v>
      </c>
    </row>
    <row r="3" spans="1:8" ht="12" customHeight="1">
      <c r="A3" s="334" t="s">
        <v>119</v>
      </c>
      <c r="B3" s="68"/>
      <c r="C3" s="320">
        <f>$H3*C2</f>
        <v>75</v>
      </c>
      <c r="D3" s="320">
        <f>$H3*D2</f>
        <v>90</v>
      </c>
      <c r="E3" s="320">
        <f>$H3*E2</f>
        <v>105</v>
      </c>
      <c r="F3" s="320">
        <f>$H3*F2</f>
        <v>105</v>
      </c>
      <c r="H3" s="326">
        <v>0.75</v>
      </c>
    </row>
    <row r="4" spans="1:8" ht="12" customHeight="1">
      <c r="A4" s="303" t="s">
        <v>121</v>
      </c>
      <c r="B4" s="68"/>
      <c r="C4" s="301">
        <f>C2-C3</f>
        <v>25</v>
      </c>
      <c r="D4" s="301">
        <f>D2-D3</f>
        <v>30</v>
      </c>
      <c r="E4" s="301">
        <f>E2-E3</f>
        <v>35</v>
      </c>
      <c r="F4" s="301">
        <f>F2-F3</f>
        <v>35</v>
      </c>
      <c r="H4" s="327"/>
    </row>
    <row r="5" spans="1:8" ht="12" customHeight="1">
      <c r="A5" s="303" t="s">
        <v>335</v>
      </c>
      <c r="B5" s="68"/>
      <c r="C5" s="320">
        <v>5</v>
      </c>
      <c r="D5" s="320">
        <v>5</v>
      </c>
      <c r="E5" s="320">
        <v>5</v>
      </c>
      <c r="F5" s="320">
        <v>5</v>
      </c>
      <c r="H5" s="333">
        <v>5</v>
      </c>
    </row>
    <row r="6" spans="1:8" ht="12" customHeight="1">
      <c r="A6" s="303" t="s">
        <v>7</v>
      </c>
      <c r="B6" s="68"/>
      <c r="C6" s="301">
        <f>C4-C5</f>
        <v>20</v>
      </c>
      <c r="D6" s="301">
        <f>D4-D5</f>
        <v>25</v>
      </c>
      <c r="E6" s="301">
        <f>E4-E5</f>
        <v>30</v>
      </c>
      <c r="F6" s="301">
        <f>F4-F5</f>
        <v>30</v>
      </c>
      <c r="H6" s="327"/>
    </row>
    <row r="7" spans="1:8" ht="12" customHeight="1">
      <c r="A7" s="303" t="s">
        <v>14</v>
      </c>
      <c r="B7" s="68"/>
      <c r="C7" s="320">
        <f>$B$20*H7</f>
        <v>10</v>
      </c>
      <c r="D7" s="320">
        <f>$B$20*H7</f>
        <v>10</v>
      </c>
      <c r="E7" s="320">
        <f>$B$20*H7+20*0.25</f>
        <v>15</v>
      </c>
      <c r="F7" s="320">
        <f>$B$20*H7+20*0.25</f>
        <v>15</v>
      </c>
      <c r="H7" s="326">
        <v>0.25</v>
      </c>
    </row>
    <row r="8" spans="1:8" ht="12" customHeight="1">
      <c r="A8" s="303" t="s">
        <v>15</v>
      </c>
      <c r="B8" s="68"/>
      <c r="C8" s="301">
        <f>C6-C7</f>
        <v>10</v>
      </c>
      <c r="D8" s="301">
        <f>D6-D7</f>
        <v>15</v>
      </c>
      <c r="E8" s="301">
        <f>E6-E7</f>
        <v>15</v>
      </c>
      <c r="F8" s="301">
        <f>F6-F7</f>
        <v>15</v>
      </c>
      <c r="H8" s="327"/>
    </row>
    <row r="9" spans="1:8" ht="12" customHeight="1">
      <c r="A9" s="303" t="s">
        <v>334</v>
      </c>
      <c r="B9" s="68"/>
      <c r="C9" s="332">
        <f>$H9*B23</f>
        <v>1</v>
      </c>
      <c r="D9" s="332">
        <f>$H9*C23</f>
        <v>0.75</v>
      </c>
      <c r="E9" s="332">
        <f>$H9*D23</f>
        <v>0.5</v>
      </c>
      <c r="F9" s="332">
        <f>$H9*E23</f>
        <v>0.25</v>
      </c>
      <c r="H9" s="326">
        <v>0.05</v>
      </c>
    </row>
    <row r="10" spans="1:8" ht="12" customHeight="1">
      <c r="A10" s="303" t="s">
        <v>17</v>
      </c>
      <c r="B10" s="68"/>
      <c r="C10" s="301">
        <f>C8-C9</f>
        <v>9</v>
      </c>
      <c r="D10" s="301">
        <f>D8-D9</f>
        <v>14.25</v>
      </c>
      <c r="E10" s="301">
        <f>E8-E9</f>
        <v>14.5</v>
      </c>
      <c r="F10" s="301">
        <f>F8-F9</f>
        <v>14.75</v>
      </c>
      <c r="H10" s="327"/>
    </row>
    <row r="11" spans="1:8" ht="12" customHeight="1">
      <c r="A11" s="303" t="s">
        <v>333</v>
      </c>
      <c r="B11" s="68"/>
      <c r="C11" s="320">
        <f>$H11*C10</f>
        <v>2.6999999999999997</v>
      </c>
      <c r="D11" s="320">
        <f>$H11*D10</f>
        <v>4.2749999999999995</v>
      </c>
      <c r="E11" s="320">
        <f>$H11*E10</f>
        <v>4.35</v>
      </c>
      <c r="F11" s="320">
        <f>$H11*F10</f>
        <v>4.425</v>
      </c>
      <c r="H11" s="326">
        <v>0.3</v>
      </c>
    </row>
    <row r="12" spans="1:8" ht="12" customHeight="1">
      <c r="A12" s="303" t="s">
        <v>120</v>
      </c>
      <c r="B12" s="68"/>
      <c r="C12" s="301">
        <f>C10-C11</f>
        <v>6.300000000000001</v>
      </c>
      <c r="D12" s="301">
        <f>D10-D11</f>
        <v>9.975000000000001</v>
      </c>
      <c r="E12" s="301">
        <f>E10-E11</f>
        <v>10.15</v>
      </c>
      <c r="F12" s="301">
        <f>F10-F11</f>
        <v>10.325</v>
      </c>
      <c r="H12" s="327"/>
    </row>
    <row r="13" spans="1:8" ht="12" customHeight="1">
      <c r="A13" s="303"/>
      <c r="B13" s="68"/>
      <c r="C13" s="301"/>
      <c r="D13" s="301"/>
      <c r="E13" s="301"/>
      <c r="F13" s="301"/>
      <c r="H13" s="327"/>
    </row>
    <row r="14" spans="1:8" ht="12" customHeight="1">
      <c r="A14" s="101" t="s">
        <v>332</v>
      </c>
      <c r="B14" s="68"/>
      <c r="C14" s="330">
        <v>0</v>
      </c>
      <c r="D14" s="331">
        <v>20</v>
      </c>
      <c r="E14" s="330">
        <v>0</v>
      </c>
      <c r="F14" s="330">
        <v>0</v>
      </c>
      <c r="H14" s="337" t="s">
        <v>174</v>
      </c>
    </row>
    <row r="15" spans="1:8" ht="12" customHeight="1">
      <c r="A15" s="101" t="s">
        <v>331</v>
      </c>
      <c r="B15" s="68"/>
      <c r="C15" s="328">
        <f>C8/C21</f>
        <v>0.2</v>
      </c>
      <c r="D15" s="328">
        <f>D8/D21</f>
        <v>0.234375</v>
      </c>
      <c r="E15" s="328">
        <f>E8/E21</f>
        <v>0.2830188679245283</v>
      </c>
      <c r="F15" s="329" t="s">
        <v>176</v>
      </c>
      <c r="H15" s="336">
        <f>AVERAGE(C15:E15)</f>
        <v>0.2391312893081761</v>
      </c>
    </row>
    <row r="16" spans="1:8" ht="12" customHeight="1">
      <c r="A16" s="101" t="s">
        <v>330</v>
      </c>
      <c r="C16" s="328">
        <f>C12/C24</f>
        <v>0.1735537190082645</v>
      </c>
      <c r="D16" s="328">
        <f>D12/D24</f>
        <v>0.2155591572123177</v>
      </c>
      <c r="E16" s="328">
        <f>E12/E24</f>
        <v>0.17988480283562253</v>
      </c>
      <c r="F16" s="328">
        <f>F12/F24</f>
        <v>0.15468164794007488</v>
      </c>
      <c r="H16" s="336">
        <f>AVERAGE(C16:F16)</f>
        <v>0.18091983174906992</v>
      </c>
    </row>
    <row r="17" ht="12">
      <c r="A17" s="303"/>
    </row>
    <row r="18" spans="1:6" ht="12.75" thickBot="1">
      <c r="A18" s="312" t="s">
        <v>329</v>
      </c>
      <c r="B18" s="311">
        <v>0</v>
      </c>
      <c r="C18" s="311">
        <v>1</v>
      </c>
      <c r="D18" s="311">
        <v>2</v>
      </c>
      <c r="E18" s="311">
        <v>3</v>
      </c>
      <c r="F18" s="311">
        <v>4</v>
      </c>
    </row>
    <row r="19" spans="1:8" ht="12">
      <c r="A19" s="303" t="s">
        <v>18</v>
      </c>
      <c r="B19" s="23">
        <v>0</v>
      </c>
      <c r="C19" s="23">
        <f>0.2*C2</f>
        <v>20</v>
      </c>
      <c r="D19" s="23">
        <v>24</v>
      </c>
      <c r="E19" s="23">
        <v>28</v>
      </c>
      <c r="F19" s="23">
        <v>0</v>
      </c>
      <c r="H19" s="326">
        <v>0.2</v>
      </c>
    </row>
    <row r="20" spans="1:6" ht="12">
      <c r="A20" s="303" t="s">
        <v>328</v>
      </c>
      <c r="B20" s="321">
        <v>40</v>
      </c>
      <c r="C20" s="320">
        <f>B20-C7+C14</f>
        <v>30</v>
      </c>
      <c r="D20" s="320">
        <f>C20-D7+D14</f>
        <v>40</v>
      </c>
      <c r="E20" s="320">
        <f>D20-E7+E14</f>
        <v>25</v>
      </c>
      <c r="F20" s="320">
        <v>0</v>
      </c>
    </row>
    <row r="21" spans="1:6" ht="12">
      <c r="A21" s="303" t="s">
        <v>327</v>
      </c>
      <c r="B21" s="23">
        <f>B19+B20</f>
        <v>40</v>
      </c>
      <c r="C21" s="23">
        <f>C19+C20</f>
        <v>50</v>
      </c>
      <c r="D21" s="23">
        <f>D19+D20</f>
        <v>64</v>
      </c>
      <c r="E21" s="23">
        <f>E19+E20</f>
        <v>53</v>
      </c>
      <c r="F21" s="23">
        <f>F19+F20</f>
        <v>0</v>
      </c>
    </row>
    <row r="22" spans="1:15" ht="11.25" customHeight="1">
      <c r="A22" s="303"/>
      <c r="L22" s="325" t="s">
        <v>174</v>
      </c>
      <c r="M22" s="325" t="s">
        <v>301</v>
      </c>
      <c r="N22" s="325" t="s">
        <v>22</v>
      </c>
      <c r="O22" s="325" t="s">
        <v>300</v>
      </c>
    </row>
    <row r="23" spans="1:15" ht="12">
      <c r="A23" s="303" t="s">
        <v>326</v>
      </c>
      <c r="B23" s="324">
        <v>20</v>
      </c>
      <c r="C23" s="23">
        <f>B23+$H23</f>
        <v>15</v>
      </c>
      <c r="D23" s="23">
        <f>C23+$H23</f>
        <v>10</v>
      </c>
      <c r="E23" s="23">
        <f>D23+$H23</f>
        <v>5</v>
      </c>
      <c r="F23" s="23">
        <f>E23+$H23</f>
        <v>0</v>
      </c>
      <c r="H23" s="323">
        <f>-B23/4</f>
        <v>-5</v>
      </c>
      <c r="K23" s="23" t="s">
        <v>325</v>
      </c>
      <c r="L23" s="315">
        <f>SUM(B23:F23)/5</f>
        <v>10</v>
      </c>
      <c r="M23" s="317">
        <f>L23/L25</f>
        <v>0.17497812773403326</v>
      </c>
      <c r="N23" s="322">
        <f>5%*0.7</f>
        <v>0.034999999999999996</v>
      </c>
      <c r="O23" s="313">
        <f>M23*N23</f>
        <v>0.006124234470691163</v>
      </c>
    </row>
    <row r="24" spans="1:15" ht="12">
      <c r="A24" s="303" t="s">
        <v>136</v>
      </c>
      <c r="B24" s="321">
        <v>30</v>
      </c>
      <c r="C24" s="320">
        <f>B24+C12</f>
        <v>36.3</v>
      </c>
      <c r="D24" s="320">
        <f>C24+D12</f>
        <v>46.275</v>
      </c>
      <c r="E24" s="320">
        <f>D24+E12</f>
        <v>56.425</v>
      </c>
      <c r="F24" s="320">
        <f>E24+F12</f>
        <v>66.75</v>
      </c>
      <c r="K24" s="23" t="s">
        <v>19</v>
      </c>
      <c r="L24" s="319">
        <f>SUM(B24:F24)/5</f>
        <v>47.15</v>
      </c>
      <c r="M24" s="318">
        <f>L24/L25</f>
        <v>0.8250218722659668</v>
      </c>
      <c r="N24" s="317">
        <f>15%</f>
        <v>0.15</v>
      </c>
      <c r="O24" s="316">
        <f>M24*N24</f>
        <v>0.12375328083989501</v>
      </c>
    </row>
    <row r="25" spans="1:15" ht="12">
      <c r="A25" s="303" t="s">
        <v>20</v>
      </c>
      <c r="B25" s="301">
        <f>B23+B24</f>
        <v>50</v>
      </c>
      <c r="C25" s="301">
        <f>C23+C24</f>
        <v>51.3</v>
      </c>
      <c r="D25" s="301">
        <f>D23+D24</f>
        <v>56.275</v>
      </c>
      <c r="E25" s="301">
        <f>E23+E24</f>
        <v>61.425</v>
      </c>
      <c r="F25" s="301">
        <f>F23+F24</f>
        <v>66.75</v>
      </c>
      <c r="K25" s="23" t="s">
        <v>138</v>
      </c>
      <c r="L25" s="315">
        <f>L23+L24</f>
        <v>57.15</v>
      </c>
      <c r="M25" s="314">
        <f>M23+M24</f>
        <v>1</v>
      </c>
      <c r="O25" s="313">
        <f>O23+O24</f>
        <v>0.12987751531058617</v>
      </c>
    </row>
    <row r="26" spans="1:11" ht="12">
      <c r="A26" s="303"/>
      <c r="B26" s="301"/>
      <c r="C26" s="301"/>
      <c r="D26" s="301"/>
      <c r="E26" s="301"/>
      <c r="F26" s="301"/>
      <c r="H26" s="315"/>
      <c r="I26" s="314"/>
      <c r="K26" s="313"/>
    </row>
    <row r="27" spans="1:6" ht="12">
      <c r="A27" s="281" t="s">
        <v>324</v>
      </c>
      <c r="B27" s="301">
        <f>B25-B21</f>
        <v>10</v>
      </c>
      <c r="C27" s="301">
        <f>C25-C21</f>
        <v>1.2999999999999972</v>
      </c>
      <c r="D27" s="301">
        <f>D25-D21</f>
        <v>-7.725000000000001</v>
      </c>
      <c r="E27" s="301">
        <f>E25-E21</f>
        <v>8.424999999999997</v>
      </c>
      <c r="F27" s="301">
        <f>F25-F21</f>
        <v>66.75</v>
      </c>
    </row>
    <row r="28" spans="1:6" ht="12">
      <c r="A28" s="281" t="s">
        <v>323</v>
      </c>
      <c r="B28" s="301">
        <f>-B24+B27</f>
        <v>-20</v>
      </c>
      <c r="C28" s="301">
        <f>C27-B27</f>
        <v>-8.700000000000003</v>
      </c>
      <c r="D28" s="301">
        <f>D27-C27</f>
        <v>-9.024999999999999</v>
      </c>
      <c r="E28" s="301">
        <f>E27-D27</f>
        <v>16.15</v>
      </c>
      <c r="F28" s="301">
        <f>F27-E27</f>
        <v>58.325</v>
      </c>
    </row>
    <row r="29" ht="12">
      <c r="A29" s="281"/>
    </row>
    <row r="30" spans="1:8" ht="12.75" thickBot="1">
      <c r="A30" s="312" t="s">
        <v>322</v>
      </c>
      <c r="B30" s="311">
        <v>0</v>
      </c>
      <c r="C30" s="311">
        <v>1</v>
      </c>
      <c r="D30" s="311">
        <v>2</v>
      </c>
      <c r="E30" s="311">
        <v>3</v>
      </c>
      <c r="F30" s="311">
        <v>4</v>
      </c>
      <c r="H30" s="310" t="s">
        <v>321</v>
      </c>
    </row>
    <row r="31" spans="1:10" ht="12">
      <c r="A31" s="303" t="s">
        <v>120</v>
      </c>
      <c r="C31" s="301">
        <f>C12</f>
        <v>6.300000000000001</v>
      </c>
      <c r="D31" s="301">
        <f>D12</f>
        <v>9.975000000000001</v>
      </c>
      <c r="E31" s="301">
        <f>E12</f>
        <v>10.15</v>
      </c>
      <c r="F31" s="301">
        <f>F12</f>
        <v>10.325</v>
      </c>
      <c r="H31" s="304">
        <f aca="true" t="shared" si="0" ref="H31:H37">SUM(B31:F31)</f>
        <v>36.75</v>
      </c>
      <c r="J31" s="301"/>
    </row>
    <row r="32" spans="1:10" ht="12" hidden="1" outlineLevel="1">
      <c r="A32" s="306" t="s">
        <v>288</v>
      </c>
      <c r="C32" s="301">
        <f>C7</f>
        <v>10</v>
      </c>
      <c r="D32" s="301">
        <f>D7</f>
        <v>10</v>
      </c>
      <c r="E32" s="301">
        <f>E7</f>
        <v>15</v>
      </c>
      <c r="F32" s="301">
        <f>F7</f>
        <v>15</v>
      </c>
      <c r="H32" s="304">
        <f t="shared" si="0"/>
        <v>50</v>
      </c>
      <c r="J32" s="301"/>
    </row>
    <row r="33" spans="1:10" ht="12" hidden="1" outlineLevel="1">
      <c r="A33" s="306" t="s">
        <v>287</v>
      </c>
      <c r="C33" s="301">
        <f>-(C20-B20+C32)</f>
        <v>0</v>
      </c>
      <c r="D33" s="301">
        <f>-(D20-C20+D32)</f>
        <v>-20</v>
      </c>
      <c r="E33" s="301">
        <f>-(E20-D20+E32)</f>
        <v>0</v>
      </c>
      <c r="F33" s="301">
        <f>-(F20-E20+F32)</f>
        <v>10</v>
      </c>
      <c r="H33" s="304">
        <f t="shared" si="0"/>
        <v>-10</v>
      </c>
      <c r="I33" s="309"/>
      <c r="J33" s="301"/>
    </row>
    <row r="34" spans="1:10" ht="12" hidden="1" outlineLevel="1">
      <c r="A34" s="306" t="s">
        <v>286</v>
      </c>
      <c r="C34" s="301">
        <f>B19-C19</f>
        <v>-20</v>
      </c>
      <c r="D34" s="301">
        <f>C19-D19</f>
        <v>-4</v>
      </c>
      <c r="E34" s="301">
        <f>D19-E19</f>
        <v>-4</v>
      </c>
      <c r="F34" s="301">
        <f>E19-F19</f>
        <v>28</v>
      </c>
      <c r="H34" s="304">
        <f t="shared" si="0"/>
        <v>0</v>
      </c>
      <c r="I34" s="308"/>
      <c r="J34" s="301"/>
    </row>
    <row r="35" spans="1:10" ht="12" collapsed="1">
      <c r="A35" s="303" t="s">
        <v>319</v>
      </c>
      <c r="B35" s="23">
        <f>-B20</f>
        <v>-40</v>
      </c>
      <c r="C35" s="23">
        <f>B21-C21</f>
        <v>-10</v>
      </c>
      <c r="D35" s="23">
        <f>C21-D21</f>
        <v>-14</v>
      </c>
      <c r="E35" s="23">
        <f>D21-E21</f>
        <v>11</v>
      </c>
      <c r="F35" s="23">
        <f>E21-F21</f>
        <v>53</v>
      </c>
      <c r="H35" s="304">
        <f t="shared" si="0"/>
        <v>0</v>
      </c>
      <c r="J35" s="301"/>
    </row>
    <row r="36" spans="1:10" ht="12">
      <c r="A36" s="303" t="s">
        <v>157</v>
      </c>
      <c r="B36" s="302">
        <f>B23</f>
        <v>20</v>
      </c>
      <c r="C36" s="302">
        <f>C23-B23</f>
        <v>-5</v>
      </c>
      <c r="D36" s="302">
        <f>D23-C23</f>
        <v>-5</v>
      </c>
      <c r="E36" s="302">
        <f>E23-D23</f>
        <v>-5</v>
      </c>
      <c r="F36" s="302">
        <f>F23-E23</f>
        <v>-5</v>
      </c>
      <c r="H36" s="305">
        <f t="shared" si="0"/>
        <v>0</v>
      </c>
      <c r="J36" s="301"/>
    </row>
    <row r="37" spans="1:10" ht="12">
      <c r="A37" s="300" t="s">
        <v>159</v>
      </c>
      <c r="B37" s="307">
        <f>B31+B35+B36</f>
        <v>-20</v>
      </c>
      <c r="C37" s="307">
        <f>C31+C35+C36</f>
        <v>-8.7</v>
      </c>
      <c r="D37" s="307">
        <f>D31+D35+D36</f>
        <v>-9.024999999999999</v>
      </c>
      <c r="E37" s="307">
        <f>E31+E35+E36</f>
        <v>16.15</v>
      </c>
      <c r="F37" s="307">
        <f>F31+F35+F36</f>
        <v>58.325</v>
      </c>
      <c r="H37" s="304">
        <f t="shared" si="0"/>
        <v>36.75000000000001</v>
      </c>
      <c r="J37" s="301"/>
    </row>
    <row r="38" spans="1:10" ht="12">
      <c r="A38" s="303"/>
      <c r="H38" s="66"/>
      <c r="J38" s="301"/>
    </row>
    <row r="39" spans="1:10" ht="12">
      <c r="A39" s="303" t="s">
        <v>15</v>
      </c>
      <c r="C39" s="301">
        <f>C8</f>
        <v>10</v>
      </c>
      <c r="D39" s="301">
        <f>D8</f>
        <v>15</v>
      </c>
      <c r="E39" s="301">
        <f>E8</f>
        <v>15</v>
      </c>
      <c r="F39" s="301">
        <f>F8</f>
        <v>15</v>
      </c>
      <c r="H39" s="304">
        <f aca="true" t="shared" si="1" ref="H39:H44">SUM(B39:F39)</f>
        <v>55</v>
      </c>
      <c r="J39" s="301"/>
    </row>
    <row r="40" spans="1:10" ht="12" hidden="1" outlineLevel="1">
      <c r="A40" s="306" t="s">
        <v>288</v>
      </c>
      <c r="C40" s="301">
        <f aca="true" t="shared" si="2" ref="C40:F43">C32</f>
        <v>10</v>
      </c>
      <c r="D40" s="301">
        <f t="shared" si="2"/>
        <v>10</v>
      </c>
      <c r="E40" s="301">
        <f t="shared" si="2"/>
        <v>15</v>
      </c>
      <c r="F40" s="301">
        <f t="shared" si="2"/>
        <v>15</v>
      </c>
      <c r="H40" s="304">
        <f t="shared" si="1"/>
        <v>50</v>
      </c>
      <c r="J40" s="301"/>
    </row>
    <row r="41" spans="1:10" ht="12" hidden="1" outlineLevel="1">
      <c r="A41" s="306" t="s">
        <v>287</v>
      </c>
      <c r="C41" s="301">
        <f t="shared" si="2"/>
        <v>0</v>
      </c>
      <c r="D41" s="301">
        <f t="shared" si="2"/>
        <v>-20</v>
      </c>
      <c r="E41" s="301">
        <f t="shared" si="2"/>
        <v>0</v>
      </c>
      <c r="F41" s="301">
        <f t="shared" si="2"/>
        <v>10</v>
      </c>
      <c r="H41" s="304">
        <f t="shared" si="1"/>
        <v>-10</v>
      </c>
      <c r="J41" s="301"/>
    </row>
    <row r="42" spans="1:10" ht="12" hidden="1" outlineLevel="1">
      <c r="A42" s="306" t="s">
        <v>286</v>
      </c>
      <c r="C42" s="301">
        <f t="shared" si="2"/>
        <v>-20</v>
      </c>
      <c r="D42" s="301">
        <f t="shared" si="2"/>
        <v>-4</v>
      </c>
      <c r="E42" s="301">
        <f t="shared" si="2"/>
        <v>-4</v>
      </c>
      <c r="F42" s="301">
        <f t="shared" si="2"/>
        <v>28</v>
      </c>
      <c r="H42" s="304">
        <f t="shared" si="1"/>
        <v>0</v>
      </c>
      <c r="J42" s="301"/>
    </row>
    <row r="43" spans="1:10" ht="12" collapsed="1">
      <c r="A43" s="303" t="s">
        <v>319</v>
      </c>
      <c r="B43" s="302">
        <f>B35</f>
        <v>-40</v>
      </c>
      <c r="C43" s="302">
        <f t="shared" si="2"/>
        <v>-10</v>
      </c>
      <c r="D43" s="302">
        <f t="shared" si="2"/>
        <v>-14</v>
      </c>
      <c r="E43" s="302">
        <f t="shared" si="2"/>
        <v>11</v>
      </c>
      <c r="F43" s="302">
        <f t="shared" si="2"/>
        <v>53</v>
      </c>
      <c r="H43" s="305">
        <f t="shared" si="1"/>
        <v>0</v>
      </c>
      <c r="J43" s="301"/>
    </row>
    <row r="44" spans="1:10" ht="12">
      <c r="A44" s="300" t="s">
        <v>320</v>
      </c>
      <c r="B44" s="23">
        <f>B39+B43</f>
        <v>-40</v>
      </c>
      <c r="C44" s="23">
        <f>C39+C43</f>
        <v>0</v>
      </c>
      <c r="D44" s="23">
        <f>D39+D43</f>
        <v>1</v>
      </c>
      <c r="E44" s="23">
        <f>E39+E43</f>
        <v>26</v>
      </c>
      <c r="F44" s="23">
        <f>F39+F43</f>
        <v>68</v>
      </c>
      <c r="H44" s="304">
        <f t="shared" si="1"/>
        <v>55</v>
      </c>
      <c r="J44" s="301"/>
    </row>
    <row r="45" ht="12">
      <c r="A45" s="300"/>
    </row>
    <row r="46" spans="1:6" ht="12">
      <c r="A46" s="303" t="s">
        <v>284</v>
      </c>
      <c r="C46" s="23">
        <f>C39*0.7</f>
        <v>7</v>
      </c>
      <c r="D46" s="301">
        <f>D39*0.7</f>
        <v>10.5</v>
      </c>
      <c r="E46" s="301">
        <f>E39*0.7</f>
        <v>10.5</v>
      </c>
      <c r="F46" s="301">
        <f>F39*0.7</f>
        <v>10.5</v>
      </c>
    </row>
    <row r="47" spans="1:6" ht="12">
      <c r="A47" s="303" t="s">
        <v>319</v>
      </c>
      <c r="B47" s="302">
        <f>B43</f>
        <v>-40</v>
      </c>
      <c r="C47" s="302">
        <f>C43</f>
        <v>-10</v>
      </c>
      <c r="D47" s="302">
        <f>D43</f>
        <v>-14</v>
      </c>
      <c r="E47" s="302">
        <f>E43</f>
        <v>11</v>
      </c>
      <c r="F47" s="302">
        <f>F43</f>
        <v>53</v>
      </c>
    </row>
    <row r="48" spans="1:6" ht="12">
      <c r="A48" s="300" t="s">
        <v>318</v>
      </c>
      <c r="B48" s="23">
        <f>B46+B47</f>
        <v>-40</v>
      </c>
      <c r="C48" s="23">
        <f>C46+C47</f>
        <v>-3</v>
      </c>
      <c r="D48" s="301">
        <f>D46+D47</f>
        <v>-3.5</v>
      </c>
      <c r="E48" s="301">
        <f>E46+E47</f>
        <v>21.5</v>
      </c>
      <c r="F48" s="301">
        <f>F46+F47</f>
        <v>63.5</v>
      </c>
    </row>
    <row r="49" ht="12">
      <c r="A49" s="300"/>
    </row>
    <row r="51" spans="3:4" ht="12">
      <c r="C51" s="297" t="s">
        <v>317</v>
      </c>
      <c r="D51" s="299">
        <v>0.15</v>
      </c>
    </row>
    <row r="52" spans="3:8" ht="12">
      <c r="C52" s="297" t="s">
        <v>164</v>
      </c>
      <c r="D52" s="296">
        <f>IRR(B37:F37)</f>
        <v>0.24301767808587624</v>
      </c>
      <c r="G52" s="297" t="s">
        <v>165</v>
      </c>
      <c r="H52" s="298">
        <f>NPV(D51,C37:F37)</f>
        <v>29.576981214332438</v>
      </c>
    </row>
    <row r="53" spans="3:8" ht="12">
      <c r="C53" s="297" t="s">
        <v>316</v>
      </c>
      <c r="D53" s="296">
        <f>IRR(B44:F44)</f>
        <v>0.2652079067651983</v>
      </c>
      <c r="G53" s="297" t="s">
        <v>315</v>
      </c>
      <c r="H53" s="298">
        <f>H52+B37</f>
        <v>9.576981214332438</v>
      </c>
    </row>
    <row r="54" spans="3:8" ht="12">
      <c r="C54" s="297" t="s">
        <v>314</v>
      </c>
      <c r="D54" s="296">
        <f>IRR(B48:F48)</f>
        <v>0.1857399526414103</v>
      </c>
      <c r="H54" s="295"/>
    </row>
  </sheetData>
  <sheetProtection selectLockedCells="1" selectUnlockedCells="1"/>
  <printOptions headings="1"/>
  <pageMargins left="0.7480314960629921" right="0.7480314960629921" top="0.984251968503937" bottom="0.984251968503937" header="0.5118110236220472" footer="0.511811023622047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1">
      <selection activeCell="G26" sqref="G26"/>
    </sheetView>
  </sheetViews>
  <sheetFormatPr defaultColWidth="9.125" defaultRowHeight="12"/>
  <cols>
    <col min="1" max="1" width="14.75390625" style="0" customWidth="1"/>
  </cols>
  <sheetData>
    <row r="1" spans="1:5" ht="12">
      <c r="A1" t="s">
        <v>24</v>
      </c>
      <c r="B1" s="1">
        <v>0</v>
      </c>
      <c r="C1" s="1">
        <v>1</v>
      </c>
      <c r="D1" s="1">
        <v>2</v>
      </c>
      <c r="E1" s="1">
        <v>3</v>
      </c>
    </row>
    <row r="2" spans="1:5" ht="12">
      <c r="A2" t="s">
        <v>25</v>
      </c>
      <c r="B2" s="1">
        <v>-1</v>
      </c>
      <c r="C2" s="1">
        <v>0.5</v>
      </c>
      <c r="D2" s="1">
        <v>0.5</v>
      </c>
      <c r="E2" s="1">
        <v>0.5</v>
      </c>
    </row>
    <row r="3" spans="1:5" ht="12">
      <c r="A3" t="s">
        <v>8</v>
      </c>
      <c r="B3" s="2">
        <v>0.23</v>
      </c>
      <c r="C3" s="1"/>
      <c r="D3" s="1"/>
      <c r="E3" s="1"/>
    </row>
    <row r="4" spans="1:5" ht="12">
      <c r="A4" t="s">
        <v>26</v>
      </c>
      <c r="B4" s="2">
        <v>0.12</v>
      </c>
      <c r="C4" s="1"/>
      <c r="D4" s="1" t="s">
        <v>21</v>
      </c>
      <c r="E4" s="1" t="s">
        <v>27</v>
      </c>
    </row>
  </sheetData>
  <sheetProtection/>
  <printOptions gridLines="1" headings="1"/>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MARTINEZ-ABASCAL, Eduardo</dc:creator>
  <cp:keywords/>
  <dc:description/>
  <cp:lastModifiedBy>IESE</cp:lastModifiedBy>
  <cp:lastPrinted>2011-09-05T10:15:35Z</cp:lastPrinted>
  <dcterms:created xsi:type="dcterms:W3CDTF">2000-02-06T11:56:27Z</dcterms:created>
  <dcterms:modified xsi:type="dcterms:W3CDTF">2011-10-14T18:34:39Z</dcterms:modified>
  <cp:category/>
  <cp:version/>
  <cp:contentType/>
  <cp:contentStatus/>
</cp:coreProperties>
</file>