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.simoes\OneDrive\Documentos\Profissional\01 - ISE\07 - Traduções\Livros\Finanças para Gestores\Planilhas Abascal\"/>
    </mc:Choice>
  </mc:AlternateContent>
  <xr:revisionPtr revIDLastSave="70" documentId="8_{3DAC3E30-0BF0-4186-B34A-9F9A5DD5979B}" xr6:coauthVersionLast="36" xr6:coauthVersionMax="36" xr10:uidLastSave="{6425D437-ADE8-40E7-B010-212F86880849}"/>
  <bookViews>
    <workbookView xWindow="-10" yWindow="-10" windowWidth="15460" windowHeight="8230" tabRatio="647" firstSheet="1" activeTab="7" xr2:uid="{00000000-000D-0000-FFFF-FFFF00000000}"/>
  </bookViews>
  <sheets>
    <sheet name="Exh1 Eng" sheetId="24" r:id="rId1"/>
    <sheet name="Exh2 Eng" sheetId="20" r:id="rId2"/>
    <sheet name="Exh2 Eng TO DO" sheetId="27" r:id="rId3"/>
    <sheet name="Anex1 Esp" sheetId="25" r:id="rId4"/>
    <sheet name="Anex2 Esp" sheetId="26" r:id="rId5"/>
    <sheet name="Anex2 Esp HACER" sheetId="28" r:id="rId6"/>
    <sheet name="Anex1 Port" sheetId="29" r:id="rId7"/>
    <sheet name="Anex2 Port" sheetId="30" r:id="rId8"/>
    <sheet name="Anex2 Port FAZER" sheetId="31" r:id="rId9"/>
    <sheet name="Planilha4" sheetId="32" r:id="rId10"/>
    <sheet name="Planilha1" sheetId="33" r:id="rId11"/>
  </sheets>
  <definedNames>
    <definedName name="_xlnm.Print_Area" localSheetId="3">'Anex1 Esp'!$A$1:$H$75</definedName>
    <definedName name="_xlnm.Print_Area" localSheetId="6">'Anex1 Port'!$A$1:$H$75</definedName>
    <definedName name="_xlnm.Print_Area" localSheetId="4">'Anex2 Esp'!$A$1:$I$75</definedName>
    <definedName name="_xlnm.Print_Area" localSheetId="5">'Anex2 Esp HACER'!$A$1:$I$75</definedName>
    <definedName name="_xlnm.Print_Area" localSheetId="7">'Anex2 Port'!$A$1:$I$75</definedName>
    <definedName name="_xlnm.Print_Area" localSheetId="8">'Anex2 Port FAZER'!$A$1:$I$75</definedName>
    <definedName name="_xlnm.Print_Area" localSheetId="0">'Exh1 Eng'!$A$1:$H$75</definedName>
    <definedName name="_xlnm.Print_Area" localSheetId="1">'Exh2 Eng'!$A$1:$I$75</definedName>
    <definedName name="_xlnm.Print_Area" localSheetId="2">'Exh2 Eng TO DO'!$A$1:$I$75</definedName>
    <definedName name="solver_adj" localSheetId="3" hidden="1">'Anex1 Esp'!$D$8</definedName>
    <definedName name="solver_adj" localSheetId="6" hidden="1">'Anex1 Port'!$D$8</definedName>
    <definedName name="solver_adj" localSheetId="4" hidden="1">'Anex2 Esp'!$B$9</definedName>
    <definedName name="solver_adj" localSheetId="5" hidden="1">'Anex2 Esp HACER'!$B$9</definedName>
    <definedName name="solver_adj" localSheetId="7" hidden="1">'Anex2 Port'!$B$9</definedName>
    <definedName name="solver_adj" localSheetId="8" hidden="1">'Anex2 Port FAZER'!$B$9</definedName>
    <definedName name="solver_adj" localSheetId="0" hidden="1">'Exh1 Eng'!$D$8</definedName>
    <definedName name="solver_adj" localSheetId="1" hidden="1">'Exh2 Eng'!$B$9</definedName>
    <definedName name="solver_adj" localSheetId="2" hidden="1">'Exh2 Eng TO DO'!$B$9</definedName>
    <definedName name="solver_cvg" localSheetId="3" hidden="1">0.0001</definedName>
    <definedName name="solver_cvg" localSheetId="6" hidden="1">0.0001</definedName>
    <definedName name="solver_cvg" localSheetId="4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3" hidden="1">1</definedName>
    <definedName name="solver_drv" localSheetId="6" hidden="1">1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3" hidden="1">1</definedName>
    <definedName name="solver_est" localSheetId="6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3" hidden="1">100</definedName>
    <definedName name="solver_itr" localSheetId="6" hidden="1">100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in" localSheetId="3" hidden="1">2</definedName>
    <definedName name="solver_lin" localSheetId="6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3" hidden="1">2</definedName>
    <definedName name="solver_neg" localSheetId="6" hidden="1">2</definedName>
    <definedName name="solver_neg" localSheetId="4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3" hidden="1">0</definedName>
    <definedName name="solver_num" localSheetId="6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3" hidden="1">1</definedName>
    <definedName name="solver_nwt" localSheetId="6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3" hidden="1">'Anex1 Esp'!$D$15</definedName>
    <definedName name="solver_opt" localSheetId="6" hidden="1">'Anex1 Port'!$D$15</definedName>
    <definedName name="solver_opt" localSheetId="4" hidden="1">'Anex2 Esp'!$B$13</definedName>
    <definedName name="solver_opt" localSheetId="5" hidden="1">'Anex2 Esp HACER'!$B$13</definedName>
    <definedName name="solver_opt" localSheetId="7" hidden="1">'Anex2 Port'!$B$13</definedName>
    <definedName name="solver_opt" localSheetId="8" hidden="1">'Anex2 Port FAZER'!$B$13</definedName>
    <definedName name="solver_opt" localSheetId="0" hidden="1">'Exh1 Eng'!$D$15</definedName>
    <definedName name="solver_opt" localSheetId="1" hidden="1">'Exh2 Eng'!$B$13</definedName>
    <definedName name="solver_opt" localSheetId="2" hidden="1">'Exh2 Eng TO DO'!$B$13</definedName>
    <definedName name="solver_pre" localSheetId="3" hidden="1">0.000001</definedName>
    <definedName name="solver_pre" localSheetId="6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scl" localSheetId="3" hidden="1">2</definedName>
    <definedName name="solver_scl" localSheetId="6" hidden="1">2</definedName>
    <definedName name="solver_scl" localSheetId="4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3" hidden="1">2</definedName>
    <definedName name="solver_sho" localSheetId="6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3" hidden="1">100</definedName>
    <definedName name="solver_tim" localSheetId="6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3" hidden="1">0.05</definedName>
    <definedName name="solver_tol" localSheetId="6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3" hidden="1">3</definedName>
    <definedName name="solver_typ" localSheetId="6" hidden="1">3</definedName>
    <definedName name="solver_typ" localSheetId="4" hidden="1">3</definedName>
    <definedName name="solver_typ" localSheetId="5" hidden="1">3</definedName>
    <definedName name="solver_typ" localSheetId="7" hidden="1">3</definedName>
    <definedName name="solver_typ" localSheetId="8" hidden="1">3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val" localSheetId="3" hidden="1">0</definedName>
    <definedName name="solver_val" localSheetId="6" hidden="1">0</definedName>
    <definedName name="solver_val" localSheetId="4" hidden="1">2000</definedName>
    <definedName name="solver_val" localSheetId="5" hidden="1">2000</definedName>
    <definedName name="solver_val" localSheetId="7" hidden="1">2000</definedName>
    <definedName name="solver_val" localSheetId="8" hidden="1">2000</definedName>
    <definedName name="solver_val" localSheetId="0" hidden="1">0</definedName>
    <definedName name="solver_val" localSheetId="1" hidden="1">2000</definedName>
    <definedName name="solver_val" localSheetId="2" hidden="1">2000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31" l="1"/>
  <c r="C48" i="31"/>
  <c r="B48" i="31"/>
  <c r="D44" i="31"/>
  <c r="C44" i="31"/>
  <c r="B44" i="31"/>
  <c r="D43" i="31"/>
  <c r="C43" i="31"/>
  <c r="B43" i="31"/>
  <c r="D42" i="31"/>
  <c r="D41" i="31"/>
  <c r="C41" i="31"/>
  <c r="C42" i="31" s="1"/>
  <c r="C46" i="31" s="1"/>
  <c r="B41" i="31"/>
  <c r="B42" i="31" s="1"/>
  <c r="D35" i="31"/>
  <c r="C35" i="31"/>
  <c r="C49" i="31" s="1"/>
  <c r="B35" i="31"/>
  <c r="C32" i="31"/>
  <c r="B32" i="31"/>
  <c r="B34" i="31"/>
  <c r="B36" i="31"/>
  <c r="D31" i="31"/>
  <c r="D34" i="31"/>
  <c r="D36" i="31"/>
  <c r="C31" i="31"/>
  <c r="C34" i="31" s="1"/>
  <c r="C36" i="31" s="1"/>
  <c r="B31" i="31"/>
  <c r="C30" i="31"/>
  <c r="C51" i="31"/>
  <c r="B30" i="31"/>
  <c r="B51" i="31" s="1"/>
  <c r="D12" i="31"/>
  <c r="C12" i="31"/>
  <c r="B12" i="31"/>
  <c r="D7" i="31"/>
  <c r="D6" i="31"/>
  <c r="D8" i="31"/>
  <c r="C6" i="31"/>
  <c r="C8" i="31" s="1"/>
  <c r="C11" i="31"/>
  <c r="C13" i="31"/>
  <c r="C16" i="31" s="1"/>
  <c r="C45" i="31" s="1"/>
  <c r="B6" i="31"/>
  <c r="B8" i="31"/>
  <c r="D5" i="31"/>
  <c r="C5" i="31"/>
  <c r="C9" i="31" s="1"/>
  <c r="B5" i="31"/>
  <c r="B9" i="31" s="1"/>
  <c r="B11" i="31" s="1"/>
  <c r="B13" i="31" s="1"/>
  <c r="B16" i="31" s="1"/>
  <c r="B45" i="31" s="1"/>
  <c r="B46" i="31" s="1"/>
  <c r="D2" i="31"/>
  <c r="C2" i="31"/>
  <c r="D71" i="30"/>
  <c r="C71" i="30"/>
  <c r="B71" i="30"/>
  <c r="D70" i="30"/>
  <c r="C70" i="30"/>
  <c r="B70" i="30"/>
  <c r="D69" i="30"/>
  <c r="D53" i="30"/>
  <c r="D62" i="30"/>
  <c r="D72" i="30" s="1"/>
  <c r="B51" i="30"/>
  <c r="D48" i="30"/>
  <c r="C48" i="30"/>
  <c r="B48" i="30"/>
  <c r="D44" i="30"/>
  <c r="F44" i="30" s="1"/>
  <c r="C44" i="30"/>
  <c r="B44" i="30"/>
  <c r="D43" i="30"/>
  <c r="F43" i="30" s="1"/>
  <c r="C43" i="30"/>
  <c r="B43" i="30"/>
  <c r="D41" i="30"/>
  <c r="D42" i="30" s="1"/>
  <c r="C41" i="30"/>
  <c r="C42" i="30"/>
  <c r="B41" i="30"/>
  <c r="F40" i="30"/>
  <c r="F39" i="30"/>
  <c r="D35" i="30"/>
  <c r="C35" i="30"/>
  <c r="C54" i="30"/>
  <c r="B35" i="30"/>
  <c r="F33" i="30"/>
  <c r="F32" i="30"/>
  <c r="C32" i="30"/>
  <c r="B32" i="30"/>
  <c r="B69" i="30" s="1"/>
  <c r="B53" i="30"/>
  <c r="B62" i="30"/>
  <c r="B72" i="30" s="1"/>
  <c r="D31" i="30"/>
  <c r="C31" i="30"/>
  <c r="C66" i="30"/>
  <c r="B31" i="30"/>
  <c r="B30" i="30"/>
  <c r="D19" i="30"/>
  <c r="C19" i="30"/>
  <c r="D12" i="30"/>
  <c r="C12" i="30"/>
  <c r="B12" i="30"/>
  <c r="I10" i="30"/>
  <c r="H10" i="30"/>
  <c r="D7" i="30"/>
  <c r="D6" i="30"/>
  <c r="D8" i="30"/>
  <c r="C6" i="30"/>
  <c r="C8" i="30"/>
  <c r="B6" i="30"/>
  <c r="B8" i="30"/>
  <c r="D5" i="30"/>
  <c r="D20" i="30"/>
  <c r="C5" i="30"/>
  <c r="B5" i="30"/>
  <c r="B20" i="30"/>
  <c r="H3" i="30"/>
  <c r="H53" i="30"/>
  <c r="C2" i="30"/>
  <c r="C30" i="30"/>
  <c r="C51" i="30"/>
  <c r="C85" i="29"/>
  <c r="D85" i="29" s="1"/>
  <c r="C84" i="29"/>
  <c r="D84" i="29"/>
  <c r="D82" i="29"/>
  <c r="D7" i="29" s="1"/>
  <c r="D8" i="29" s="1"/>
  <c r="C82" i="29"/>
  <c r="C7" i="29"/>
  <c r="D81" i="29"/>
  <c r="C81" i="29"/>
  <c r="B70" i="29"/>
  <c r="B69" i="29"/>
  <c r="B68" i="29"/>
  <c r="B63" i="29"/>
  <c r="B64" i="29"/>
  <c r="B62" i="29"/>
  <c r="B71" i="29" s="1"/>
  <c r="B57" i="29"/>
  <c r="B72" i="29"/>
  <c r="B56" i="29"/>
  <c r="B53" i="29"/>
  <c r="B52" i="29"/>
  <c r="F51" i="29"/>
  <c r="B51" i="29"/>
  <c r="B67" i="29"/>
  <c r="C44" i="29"/>
  <c r="C43" i="29"/>
  <c r="D43" i="29" s="1"/>
  <c r="F43" i="29" s="1"/>
  <c r="C30" i="29"/>
  <c r="C51" i="29"/>
  <c r="C67" i="29" s="1"/>
  <c r="B26" i="29"/>
  <c r="B24" i="29"/>
  <c r="B23" i="29"/>
  <c r="B22" i="29"/>
  <c r="B20" i="29"/>
  <c r="B19" i="29"/>
  <c r="D18" i="29"/>
  <c r="C18" i="29"/>
  <c r="C10" i="29"/>
  <c r="C91" i="29"/>
  <c r="C35" i="29"/>
  <c r="D6" i="29"/>
  <c r="C6" i="29"/>
  <c r="C4" i="29"/>
  <c r="D3" i="29"/>
  <c r="C3" i="29"/>
  <c r="C40" i="29" s="1"/>
  <c r="C2" i="29"/>
  <c r="D2" i="29" s="1"/>
  <c r="D48" i="28"/>
  <c r="C48" i="28"/>
  <c r="B48" i="28"/>
  <c r="D44" i="28"/>
  <c r="C44" i="28"/>
  <c r="B44" i="28"/>
  <c r="D43" i="28"/>
  <c r="C43" i="28"/>
  <c r="B43" i="28"/>
  <c r="D41" i="28"/>
  <c r="D42" i="28" s="1"/>
  <c r="C41" i="28"/>
  <c r="C42" i="28"/>
  <c r="B41" i="28"/>
  <c r="B42" i="28" s="1"/>
  <c r="D35" i="28"/>
  <c r="C35" i="28"/>
  <c r="B35" i="28"/>
  <c r="C49" i="28"/>
  <c r="C32" i="28"/>
  <c r="B32" i="28"/>
  <c r="D31" i="28"/>
  <c r="C31" i="28"/>
  <c r="C34" i="28" s="1"/>
  <c r="C36" i="28" s="1"/>
  <c r="B31" i="28"/>
  <c r="B30" i="28"/>
  <c r="B51" i="28"/>
  <c r="D12" i="28"/>
  <c r="C12" i="28"/>
  <c r="B12" i="28"/>
  <c r="D7" i="28"/>
  <c r="D8" i="28" s="1"/>
  <c r="D6" i="28"/>
  <c r="C6" i="28"/>
  <c r="C8" i="28"/>
  <c r="B6" i="28"/>
  <c r="B8" i="28"/>
  <c r="D5" i="28"/>
  <c r="C5" i="28"/>
  <c r="B5" i="28"/>
  <c r="B9" i="28"/>
  <c r="B11" i="28" s="1"/>
  <c r="B13" i="28" s="1"/>
  <c r="B16" i="28" s="1"/>
  <c r="B45" i="28" s="1"/>
  <c r="C2" i="28"/>
  <c r="C30" i="28" s="1"/>
  <c r="C51" i="28" s="1"/>
  <c r="D48" i="27"/>
  <c r="C48" i="27"/>
  <c r="B48" i="27"/>
  <c r="D44" i="27"/>
  <c r="C44" i="27"/>
  <c r="C46" i="27" s="1"/>
  <c r="B44" i="27"/>
  <c r="D43" i="27"/>
  <c r="C43" i="27"/>
  <c r="B43" i="27"/>
  <c r="D41" i="27"/>
  <c r="D42" i="27" s="1"/>
  <c r="C41" i="27"/>
  <c r="C42" i="27"/>
  <c r="B41" i="27"/>
  <c r="D35" i="27"/>
  <c r="D49" i="27" s="1"/>
  <c r="C35" i="27"/>
  <c r="B35" i="27"/>
  <c r="C32" i="27"/>
  <c r="C34" i="27" s="1"/>
  <c r="B32" i="27"/>
  <c r="D31" i="27"/>
  <c r="C31" i="27"/>
  <c r="B31" i="27"/>
  <c r="B30" i="27"/>
  <c r="B51" i="27" s="1"/>
  <c r="D12" i="27"/>
  <c r="C12" i="27"/>
  <c r="B12" i="27"/>
  <c r="D7" i="27"/>
  <c r="D6" i="27"/>
  <c r="D8" i="27" s="1"/>
  <c r="C6" i="27"/>
  <c r="C8" i="27" s="1"/>
  <c r="B6" i="27"/>
  <c r="B8" i="27"/>
  <c r="D5" i="27"/>
  <c r="C5" i="27"/>
  <c r="C9" i="27" s="1"/>
  <c r="C11" i="27" s="1"/>
  <c r="B5" i="27"/>
  <c r="C2" i="27"/>
  <c r="D71" i="26"/>
  <c r="C71" i="26"/>
  <c r="B71" i="26"/>
  <c r="D70" i="26"/>
  <c r="C70" i="26"/>
  <c r="B70" i="26"/>
  <c r="D69" i="26"/>
  <c r="D53" i="26"/>
  <c r="D48" i="26"/>
  <c r="C48" i="26"/>
  <c r="B48" i="26"/>
  <c r="D44" i="26"/>
  <c r="C44" i="26"/>
  <c r="B44" i="26"/>
  <c r="D43" i="26"/>
  <c r="C43" i="26"/>
  <c r="B43" i="26"/>
  <c r="F43" i="26" s="1"/>
  <c r="D41" i="26"/>
  <c r="C41" i="26"/>
  <c r="B41" i="26"/>
  <c r="B57" i="26"/>
  <c r="F40" i="26"/>
  <c r="F39" i="26"/>
  <c r="D35" i="26"/>
  <c r="D54" i="26"/>
  <c r="C35" i="26"/>
  <c r="C54" i="26" s="1"/>
  <c r="B35" i="26"/>
  <c r="B54" i="26"/>
  <c r="F33" i="26"/>
  <c r="C32" i="26"/>
  <c r="C53" i="26"/>
  <c r="C62" i="26"/>
  <c r="C72" i="26" s="1"/>
  <c r="B32" i="26"/>
  <c r="D31" i="26"/>
  <c r="D52" i="26" s="1"/>
  <c r="C31" i="26"/>
  <c r="B31" i="26"/>
  <c r="B66" i="26"/>
  <c r="B30" i="26"/>
  <c r="B51" i="26" s="1"/>
  <c r="D19" i="26"/>
  <c r="C19" i="26"/>
  <c r="D12" i="26"/>
  <c r="C12" i="26"/>
  <c r="B12" i="26"/>
  <c r="H10" i="26"/>
  <c r="I10" i="26" s="1"/>
  <c r="D7" i="26"/>
  <c r="D6" i="26"/>
  <c r="D8" i="26"/>
  <c r="D21" i="26" s="1"/>
  <c r="C6" i="26"/>
  <c r="C8" i="26"/>
  <c r="B6" i="26"/>
  <c r="B8" i="26" s="1"/>
  <c r="D5" i="26"/>
  <c r="C5" i="26"/>
  <c r="C9" i="26" s="1"/>
  <c r="C20" i="26"/>
  <c r="B5" i="26"/>
  <c r="H3" i="26"/>
  <c r="I3" i="26"/>
  <c r="C2" i="26"/>
  <c r="D2" i="26" s="1"/>
  <c r="H3" i="20"/>
  <c r="I3" i="20" s="1"/>
  <c r="I53" i="20" s="1"/>
  <c r="H10" i="20"/>
  <c r="I10" i="20"/>
  <c r="C30" i="25"/>
  <c r="C30" i="24"/>
  <c r="C2" i="20"/>
  <c r="C40" i="24"/>
  <c r="K3" i="24"/>
  <c r="C85" i="25"/>
  <c r="D85" i="25" s="1"/>
  <c r="C84" i="25"/>
  <c r="D84" i="25"/>
  <c r="D82" i="25"/>
  <c r="C82" i="25"/>
  <c r="D81" i="25"/>
  <c r="C81" i="25"/>
  <c r="C6" i="25" s="1"/>
  <c r="D6" i="25" s="1"/>
  <c r="B70" i="25"/>
  <c r="B69" i="25"/>
  <c r="B68" i="25"/>
  <c r="B63" i="25"/>
  <c r="B64" i="25" s="1"/>
  <c r="B62" i="25"/>
  <c r="B57" i="25"/>
  <c r="B72" i="25"/>
  <c r="B56" i="25"/>
  <c r="B73" i="25" s="1"/>
  <c r="B53" i="25"/>
  <c r="F51" i="25"/>
  <c r="C44" i="25"/>
  <c r="C43" i="25"/>
  <c r="B51" i="25"/>
  <c r="B67" i="25"/>
  <c r="B26" i="25"/>
  <c r="B24" i="25"/>
  <c r="B23" i="25"/>
  <c r="B22" i="25"/>
  <c r="B20" i="25"/>
  <c r="B19" i="25"/>
  <c r="D18" i="25"/>
  <c r="C18" i="25"/>
  <c r="C10" i="25"/>
  <c r="C91" i="25" s="1"/>
  <c r="C35" i="25" s="1"/>
  <c r="C53" i="25" s="1"/>
  <c r="C7" i="25"/>
  <c r="D7" i="25" s="1"/>
  <c r="C3" i="25"/>
  <c r="C2" i="25"/>
  <c r="D2" i="25"/>
  <c r="C44" i="24"/>
  <c r="B68" i="24"/>
  <c r="D82" i="24"/>
  <c r="C82" i="24"/>
  <c r="C7" i="24" s="1"/>
  <c r="D7" i="24" s="1"/>
  <c r="D81" i="24"/>
  <c r="C81" i="24"/>
  <c r="C6" i="24" s="1"/>
  <c r="C85" i="24"/>
  <c r="D85" i="24"/>
  <c r="C84" i="24"/>
  <c r="C10" i="24" s="1"/>
  <c r="C91" i="24" s="1"/>
  <c r="C35" i="24" s="1"/>
  <c r="B53" i="24"/>
  <c r="F51" i="24"/>
  <c r="C43" i="24"/>
  <c r="D43" i="24"/>
  <c r="B70" i="24"/>
  <c r="B51" i="24"/>
  <c r="B67" i="24" s="1"/>
  <c r="A30" i="24"/>
  <c r="D18" i="24"/>
  <c r="C18" i="24"/>
  <c r="C32" i="24"/>
  <c r="C2" i="24"/>
  <c r="B5" i="20"/>
  <c r="B20" i="20"/>
  <c r="C5" i="20"/>
  <c r="C20" i="20"/>
  <c r="D5" i="20"/>
  <c r="B6" i="20"/>
  <c r="B8" i="20" s="1"/>
  <c r="B21" i="20" s="1"/>
  <c r="C6" i="20"/>
  <c r="C8" i="20"/>
  <c r="D6" i="20"/>
  <c r="D7" i="20"/>
  <c r="D8" i="20" s="1"/>
  <c r="B12" i="20"/>
  <c r="C12" i="20"/>
  <c r="D12" i="20"/>
  <c r="C19" i="20"/>
  <c r="D19" i="20"/>
  <c r="B30" i="20"/>
  <c r="B51" i="20"/>
  <c r="B31" i="20"/>
  <c r="C31" i="20"/>
  <c r="C66" i="20" s="1"/>
  <c r="D31" i="20"/>
  <c r="B32" i="20"/>
  <c r="F32" i="20" s="1"/>
  <c r="C32" i="20"/>
  <c r="C69" i="20"/>
  <c r="F33" i="20"/>
  <c r="B35" i="20"/>
  <c r="B54" i="20"/>
  <c r="C35" i="20"/>
  <c r="D35" i="20"/>
  <c r="D49" i="20" s="1"/>
  <c r="F39" i="20"/>
  <c r="F40" i="20"/>
  <c r="B41" i="20"/>
  <c r="C41" i="20"/>
  <c r="D41" i="20"/>
  <c r="B43" i="20"/>
  <c r="C43" i="20"/>
  <c r="C57" i="20"/>
  <c r="D43" i="20"/>
  <c r="F43" i="20"/>
  <c r="B44" i="20"/>
  <c r="F44" i="20" s="1"/>
  <c r="C44" i="20"/>
  <c r="D44" i="20"/>
  <c r="B48" i="20"/>
  <c r="C48" i="20"/>
  <c r="D48" i="20"/>
  <c r="B53" i="20"/>
  <c r="D53" i="20"/>
  <c r="D62" i="20" s="1"/>
  <c r="D72" i="20" s="1"/>
  <c r="C54" i="20"/>
  <c r="B69" i="20"/>
  <c r="D69" i="20"/>
  <c r="B70" i="20"/>
  <c r="C70" i="20"/>
  <c r="D70" i="20"/>
  <c r="B71" i="20"/>
  <c r="C71" i="20"/>
  <c r="D71" i="20"/>
  <c r="D43" i="25"/>
  <c r="D3" i="24"/>
  <c r="C68" i="24"/>
  <c r="B20" i="24"/>
  <c r="B69" i="24"/>
  <c r="D2" i="24"/>
  <c r="C4" i="24"/>
  <c r="C5" i="24"/>
  <c r="F43" i="25"/>
  <c r="C33" i="24"/>
  <c r="C69" i="24"/>
  <c r="B19" i="24"/>
  <c r="B22" i="24"/>
  <c r="B23" i="24"/>
  <c r="B24" i="24"/>
  <c r="B26" i="24"/>
  <c r="B57" i="24"/>
  <c r="B62" i="24"/>
  <c r="B52" i="24"/>
  <c r="B63" i="24"/>
  <c r="B64" i="24" s="1"/>
  <c r="B71" i="24"/>
  <c r="B56" i="24"/>
  <c r="B72" i="24"/>
  <c r="D2" i="28"/>
  <c r="H2" i="28" s="1"/>
  <c r="B34" i="28"/>
  <c r="D34" i="28"/>
  <c r="D36" i="28"/>
  <c r="D49" i="28"/>
  <c r="B34" i="27"/>
  <c r="B36" i="27" s="1"/>
  <c r="D34" i="27"/>
  <c r="B42" i="27"/>
  <c r="D22" i="26"/>
  <c r="C21" i="26"/>
  <c r="H5" i="26"/>
  <c r="H4" i="26"/>
  <c r="B20" i="26"/>
  <c r="D34" i="26"/>
  <c r="D36" i="26" s="1"/>
  <c r="F35" i="26"/>
  <c r="B42" i="26"/>
  <c r="F44" i="26"/>
  <c r="D49" i="26"/>
  <c r="B52" i="26"/>
  <c r="C49" i="26"/>
  <c r="C52" i="26"/>
  <c r="D30" i="28"/>
  <c r="D51" i="28" s="1"/>
  <c r="I2" i="28"/>
  <c r="K4" i="24"/>
  <c r="D54" i="20"/>
  <c r="F54" i="20" s="1"/>
  <c r="D34" i="20"/>
  <c r="D36" i="20" s="1"/>
  <c r="D20" i="20"/>
  <c r="D84" i="24"/>
  <c r="D10" i="24" s="1"/>
  <c r="D91" i="24" s="1"/>
  <c r="C8" i="25"/>
  <c r="C21" i="25" s="1"/>
  <c r="C30" i="26"/>
  <c r="C51" i="26" s="1"/>
  <c r="H53" i="26"/>
  <c r="D3" i="25"/>
  <c r="K3" i="20"/>
  <c r="I5" i="20"/>
  <c r="C20" i="25"/>
  <c r="C42" i="20"/>
  <c r="C34" i="20"/>
  <c r="C36" i="20" s="1"/>
  <c r="C19" i="24"/>
  <c r="B9" i="20"/>
  <c r="B23" i="20" s="1"/>
  <c r="C49" i="24"/>
  <c r="D6" i="24"/>
  <c r="D9" i="27"/>
  <c r="D11" i="27"/>
  <c r="D13" i="27" s="1"/>
  <c r="D16" i="27" s="1"/>
  <c r="D45" i="27" s="1"/>
  <c r="F43" i="24"/>
  <c r="H54" i="26"/>
  <c r="B42" i="20"/>
  <c r="B11" i="20"/>
  <c r="D9" i="31"/>
  <c r="D11" i="31"/>
  <c r="D13" i="31" s="1"/>
  <c r="D16" i="31" s="1"/>
  <c r="D45" i="31" s="1"/>
  <c r="D46" i="31" s="1"/>
  <c r="C21" i="30"/>
  <c r="F62" i="30"/>
  <c r="D2" i="30"/>
  <c r="D30" i="30" s="1"/>
  <c r="H51" i="30" s="1"/>
  <c r="I51" i="30" s="1"/>
  <c r="I3" i="30"/>
  <c r="B52" i="30"/>
  <c r="B55" i="30" s="1"/>
  <c r="B54" i="30"/>
  <c r="C57" i="30"/>
  <c r="H4" i="30"/>
  <c r="C49" i="30"/>
  <c r="C52" i="30"/>
  <c r="F53" i="30"/>
  <c r="D57" i="30"/>
  <c r="H5" i="30"/>
  <c r="D34" i="30"/>
  <c r="D36" i="30"/>
  <c r="D49" i="30"/>
  <c r="C8" i="29"/>
  <c r="C20" i="29" s="1"/>
  <c r="C5" i="29"/>
  <c r="C9" i="29" s="1"/>
  <c r="D30" i="29"/>
  <c r="D51" i="29" s="1"/>
  <c r="D67" i="29" s="1"/>
  <c r="C32" i="29"/>
  <c r="D32" i="29"/>
  <c r="F32" i="29" s="1"/>
  <c r="D4" i="25"/>
  <c r="F52" i="26"/>
  <c r="H52" i="26"/>
  <c r="C53" i="20"/>
  <c r="C62" i="20" s="1"/>
  <c r="C72" i="20" s="1"/>
  <c r="I4" i="20"/>
  <c r="D30" i="25"/>
  <c r="D51" i="25" s="1"/>
  <c r="D67" i="25" s="1"/>
  <c r="C51" i="25"/>
  <c r="C67" i="25"/>
  <c r="C42" i="26"/>
  <c r="C57" i="26"/>
  <c r="C22" i="20"/>
  <c r="C69" i="26"/>
  <c r="B57" i="20"/>
  <c r="C49" i="20"/>
  <c r="B52" i="20"/>
  <c r="B55" i="20"/>
  <c r="F31" i="20"/>
  <c r="B74" i="25"/>
  <c r="B58" i="25"/>
  <c r="D30" i="24"/>
  <c r="D51" i="24"/>
  <c r="D67" i="24"/>
  <c r="C51" i="24"/>
  <c r="C67" i="24" s="1"/>
  <c r="D20" i="26"/>
  <c r="B69" i="26"/>
  <c r="B53" i="26"/>
  <c r="B62" i="26"/>
  <c r="B72" i="26"/>
  <c r="B34" i="26"/>
  <c r="B36" i="26" s="1"/>
  <c r="F32" i="26"/>
  <c r="D62" i="26"/>
  <c r="F53" i="26"/>
  <c r="C49" i="27"/>
  <c r="C36" i="27"/>
  <c r="C55" i="26"/>
  <c r="B74" i="24"/>
  <c r="B73" i="24"/>
  <c r="B58" i="24"/>
  <c r="F41" i="20"/>
  <c r="D42" i="20"/>
  <c r="D57" i="20"/>
  <c r="D66" i="20"/>
  <c r="C66" i="26"/>
  <c r="C34" i="26"/>
  <c r="C36" i="26" s="1"/>
  <c r="B36" i="28"/>
  <c r="F35" i="20"/>
  <c r="D2" i="20"/>
  <c r="C30" i="20"/>
  <c r="C51" i="20"/>
  <c r="C13" i="27"/>
  <c r="C16" i="27"/>
  <c r="C45" i="27" s="1"/>
  <c r="C48" i="24"/>
  <c r="C39" i="24"/>
  <c r="C62" i="24" s="1"/>
  <c r="C52" i="24" s="1"/>
  <c r="D52" i="20"/>
  <c r="H5" i="20"/>
  <c r="I5" i="30"/>
  <c r="I53" i="30"/>
  <c r="C68" i="29"/>
  <c r="C19" i="29"/>
  <c r="F52" i="20"/>
  <c r="H52" i="20"/>
  <c r="I52" i="26"/>
  <c r="C23" i="26"/>
  <c r="C11" i="26"/>
  <c r="C13" i="26" s="1"/>
  <c r="C16" i="26" s="1"/>
  <c r="F57" i="20"/>
  <c r="B55" i="26"/>
  <c r="C70" i="24"/>
  <c r="D30" i="20"/>
  <c r="H2" i="20"/>
  <c r="I2" i="20"/>
  <c r="H4" i="20"/>
  <c r="D72" i="26"/>
  <c r="F62" i="26"/>
  <c r="C74" i="26"/>
  <c r="D51" i="30"/>
  <c r="I4" i="30"/>
  <c r="D51" i="20"/>
  <c r="H51" i="20"/>
  <c r="I51" i="20"/>
  <c r="C26" i="26"/>
  <c r="I52" i="20"/>
  <c r="C24" i="26"/>
  <c r="B46" i="28" l="1"/>
  <c r="C71" i="24"/>
  <c r="C25" i="26"/>
  <c r="C27" i="26"/>
  <c r="C45" i="26"/>
  <c r="I55" i="26"/>
  <c r="C22" i="29"/>
  <c r="C11" i="29"/>
  <c r="B13" i="20"/>
  <c r="B16" i="20" s="1"/>
  <c r="B26" i="20"/>
  <c r="D46" i="27"/>
  <c r="C49" i="29"/>
  <c r="D10" i="29"/>
  <c r="D91" i="29" s="1"/>
  <c r="C53" i="29"/>
  <c r="D9" i="30"/>
  <c r="D22" i="30"/>
  <c r="C49" i="25"/>
  <c r="D35" i="29"/>
  <c r="D74" i="30"/>
  <c r="H8" i="30"/>
  <c r="B9" i="27"/>
  <c r="B11" i="27" s="1"/>
  <c r="B13" i="27" s="1"/>
  <c r="B16" i="27" s="1"/>
  <c r="B45" i="27" s="1"/>
  <c r="B46" i="27" s="1"/>
  <c r="C33" i="29"/>
  <c r="C48" i="29"/>
  <c r="C39" i="29" s="1"/>
  <c r="C70" i="29" s="1"/>
  <c r="C20" i="30"/>
  <c r="C9" i="30"/>
  <c r="H2" i="31"/>
  <c r="I2" i="31" s="1"/>
  <c r="D30" i="31"/>
  <c r="D49" i="31"/>
  <c r="D55" i="20"/>
  <c r="D21" i="29"/>
  <c r="H2" i="30"/>
  <c r="I2" i="30" s="1"/>
  <c r="H51" i="28"/>
  <c r="I51" i="28" s="1"/>
  <c r="D35" i="25"/>
  <c r="D21" i="30"/>
  <c r="D8" i="24"/>
  <c r="D36" i="27"/>
  <c r="D40" i="24"/>
  <c r="F40" i="24" s="1"/>
  <c r="D4" i="24"/>
  <c r="D32" i="24"/>
  <c r="B62" i="20"/>
  <c r="F53" i="20"/>
  <c r="B66" i="20"/>
  <c r="B34" i="20"/>
  <c r="B36" i="20" s="1"/>
  <c r="D21" i="20"/>
  <c r="D22" i="20"/>
  <c r="D9" i="20"/>
  <c r="H8" i="20"/>
  <c r="C8" i="24"/>
  <c r="C40" i="25"/>
  <c r="C4" i="25"/>
  <c r="C32" i="25"/>
  <c r="D30" i="26"/>
  <c r="H2" i="26"/>
  <c r="I2" i="26" s="1"/>
  <c r="D55" i="26"/>
  <c r="F54" i="26"/>
  <c r="D66" i="26"/>
  <c r="D57" i="26"/>
  <c r="D42" i="26"/>
  <c r="F31" i="30"/>
  <c r="D66" i="30"/>
  <c r="D52" i="30"/>
  <c r="C69" i="30"/>
  <c r="C34" i="30"/>
  <c r="C36" i="30" s="1"/>
  <c r="C53" i="30"/>
  <c r="C62" i="30" s="1"/>
  <c r="C72" i="30" s="1"/>
  <c r="C21" i="20"/>
  <c r="C9" i="20"/>
  <c r="D40" i="29"/>
  <c r="F40" i="29" s="1"/>
  <c r="D4" i="29"/>
  <c r="B21" i="30"/>
  <c r="B9" i="30"/>
  <c r="C21" i="29"/>
  <c r="B21" i="26"/>
  <c r="C22" i="26"/>
  <c r="B74" i="29"/>
  <c r="B73" i="29"/>
  <c r="D33" i="25"/>
  <c r="D20" i="29"/>
  <c r="D68" i="29"/>
  <c r="B9" i="26"/>
  <c r="D9" i="26"/>
  <c r="B74" i="20"/>
  <c r="B58" i="29"/>
  <c r="C74" i="30"/>
  <c r="C22" i="30"/>
  <c r="I54" i="26"/>
  <c r="H55" i="26"/>
  <c r="D32" i="25"/>
  <c r="D5" i="25"/>
  <c r="D40" i="25"/>
  <c r="F40" i="25" s="1"/>
  <c r="H54" i="20"/>
  <c r="I54" i="20" s="1"/>
  <c r="I55" i="20" s="1"/>
  <c r="H8" i="26"/>
  <c r="C52" i="20"/>
  <c r="C53" i="24"/>
  <c r="D35" i="24"/>
  <c r="D8" i="25"/>
  <c r="D10" i="25"/>
  <c r="D91" i="25" s="1"/>
  <c r="I53" i="26"/>
  <c r="I5" i="26"/>
  <c r="F41" i="26"/>
  <c r="D9" i="28"/>
  <c r="D11" i="28" s="1"/>
  <c r="D13" i="28" s="1"/>
  <c r="D16" i="28" s="1"/>
  <c r="D45" i="28" s="1"/>
  <c r="D46" i="28" s="1"/>
  <c r="B66" i="30"/>
  <c r="B34" i="30"/>
  <c r="B36" i="30" s="1"/>
  <c r="B42" i="30"/>
  <c r="B57" i="30"/>
  <c r="F41" i="30"/>
  <c r="H53" i="20"/>
  <c r="H55" i="20" s="1"/>
  <c r="F31" i="26"/>
  <c r="C30" i="27"/>
  <c r="C51" i="27" s="1"/>
  <c r="D2" i="27"/>
  <c r="D54" i="30"/>
  <c r="F35" i="30"/>
  <c r="B71" i="25"/>
  <c r="B52" i="25"/>
  <c r="C9" i="28"/>
  <c r="C11" i="28" s="1"/>
  <c r="C13" i="28" s="1"/>
  <c r="C16" i="28" s="1"/>
  <c r="C45" i="28" s="1"/>
  <c r="C46" i="28" s="1"/>
  <c r="I9" i="26" l="1"/>
  <c r="H21" i="26"/>
  <c r="H9" i="26"/>
  <c r="I8" i="26"/>
  <c r="I21" i="26" s="1"/>
  <c r="F35" i="25"/>
  <c r="D49" i="25"/>
  <c r="D53" i="25"/>
  <c r="F53" i="25" s="1"/>
  <c r="C23" i="30"/>
  <c r="C11" i="30"/>
  <c r="D53" i="24"/>
  <c r="F53" i="24" s="1"/>
  <c r="D49" i="24"/>
  <c r="F35" i="24"/>
  <c r="B74" i="26"/>
  <c r="B11" i="26"/>
  <c r="B23" i="26"/>
  <c r="B23" i="30"/>
  <c r="B11" i="30"/>
  <c r="C21" i="24"/>
  <c r="C9" i="24"/>
  <c r="C20" i="24"/>
  <c r="F62" i="20"/>
  <c r="B72" i="20"/>
  <c r="F35" i="29"/>
  <c r="D53" i="29"/>
  <c r="F53" i="29" s="1"/>
  <c r="D49" i="29"/>
  <c r="B74" i="30"/>
  <c r="F57" i="30"/>
  <c r="C23" i="20"/>
  <c r="C11" i="20"/>
  <c r="C33" i="25"/>
  <c r="C69" i="25" s="1"/>
  <c r="H21" i="20"/>
  <c r="H9" i="20"/>
  <c r="I8" i="20"/>
  <c r="F32" i="24"/>
  <c r="D68" i="24"/>
  <c r="D21" i="24"/>
  <c r="D20" i="24"/>
  <c r="H51" i="31"/>
  <c r="I51" i="31" s="1"/>
  <c r="D51" i="31"/>
  <c r="B45" i="20"/>
  <c r="B25" i="20"/>
  <c r="B24" i="20"/>
  <c r="B27" i="20"/>
  <c r="F54" i="30"/>
  <c r="H54" i="30"/>
  <c r="I54" i="30" s="1"/>
  <c r="D20" i="25"/>
  <c r="D21" i="25"/>
  <c r="D68" i="25"/>
  <c r="F32" i="25"/>
  <c r="D62" i="25"/>
  <c r="D23" i="26"/>
  <c r="D11" i="26"/>
  <c r="D33" i="29"/>
  <c r="D48" i="29"/>
  <c r="D39" i="29" s="1"/>
  <c r="D51" i="26"/>
  <c r="H51" i="26"/>
  <c r="I51" i="26" s="1"/>
  <c r="D11" i="30"/>
  <c r="D23" i="30"/>
  <c r="D30" i="27"/>
  <c r="H2" i="27"/>
  <c r="I2" i="27" s="1"/>
  <c r="I4" i="26"/>
  <c r="C55" i="30"/>
  <c r="F33" i="25"/>
  <c r="D69" i="25"/>
  <c r="C68" i="25"/>
  <c r="C55" i="20"/>
  <c r="C74" i="20"/>
  <c r="D19" i="25"/>
  <c r="D9" i="25"/>
  <c r="D48" i="25"/>
  <c r="D39" i="25" s="1"/>
  <c r="D5" i="29"/>
  <c r="D55" i="30"/>
  <c r="H52" i="30"/>
  <c r="F52" i="30"/>
  <c r="F57" i="26"/>
  <c r="D74" i="26"/>
  <c r="C5" i="25"/>
  <c r="D74" i="20"/>
  <c r="D23" i="20"/>
  <c r="D11" i="20"/>
  <c r="D33" i="24"/>
  <c r="D48" i="24"/>
  <c r="D39" i="24" s="1"/>
  <c r="D62" i="24" s="1"/>
  <c r="D5" i="24"/>
  <c r="C69" i="29"/>
  <c r="C62" i="29"/>
  <c r="H9" i="30"/>
  <c r="H21" i="30"/>
  <c r="I8" i="30"/>
  <c r="C58" i="26"/>
  <c r="C46" i="26"/>
  <c r="C63" i="26"/>
  <c r="C64" i="26" s="1"/>
  <c r="D71" i="24" l="1"/>
  <c r="F62" i="24"/>
  <c r="D52" i="24"/>
  <c r="F52" i="24" s="1"/>
  <c r="H11" i="30"/>
  <c r="H23" i="30"/>
  <c r="F39" i="29"/>
  <c r="D70" i="29"/>
  <c r="C26" i="30"/>
  <c r="C13" i="30"/>
  <c r="C16" i="30" s="1"/>
  <c r="I11" i="26"/>
  <c r="I23" i="26"/>
  <c r="D19" i="24"/>
  <c r="D9" i="24"/>
  <c r="B13" i="30"/>
  <c r="B16" i="30" s="1"/>
  <c r="B26" i="30"/>
  <c r="F39" i="24"/>
  <c r="D70" i="24"/>
  <c r="D9" i="29"/>
  <c r="D19" i="29"/>
  <c r="D71" i="25"/>
  <c r="F62" i="25"/>
  <c r="D52" i="25"/>
  <c r="F52" i="25" s="1"/>
  <c r="C73" i="26"/>
  <c r="C59" i="26"/>
  <c r="F33" i="24"/>
  <c r="D69" i="24"/>
  <c r="C19" i="25"/>
  <c r="C9" i="25"/>
  <c r="D70" i="25"/>
  <c r="F39" i="25"/>
  <c r="D26" i="30"/>
  <c r="D13" i="30"/>
  <c r="D16" i="30" s="1"/>
  <c r="F33" i="29"/>
  <c r="D69" i="29"/>
  <c r="D62" i="29"/>
  <c r="C13" i="20"/>
  <c r="C16" i="20" s="1"/>
  <c r="C26" i="20"/>
  <c r="C22" i="24"/>
  <c r="C11" i="24"/>
  <c r="H51" i="27"/>
  <c r="I51" i="27" s="1"/>
  <c r="D51" i="27"/>
  <c r="H11" i="20"/>
  <c r="H23" i="20"/>
  <c r="C71" i="29"/>
  <c r="C52" i="29"/>
  <c r="I21" i="30"/>
  <c r="I9" i="30"/>
  <c r="D26" i="20"/>
  <c r="D13" i="20"/>
  <c r="D16" i="20" s="1"/>
  <c r="I52" i="30"/>
  <c r="I55" i="30" s="1"/>
  <c r="H55" i="30"/>
  <c r="D11" i="25"/>
  <c r="D22" i="25"/>
  <c r="D26" i="26"/>
  <c r="D13" i="26"/>
  <c r="D16" i="26" s="1"/>
  <c r="B58" i="20"/>
  <c r="B46" i="20"/>
  <c r="B63" i="20"/>
  <c r="B64" i="20" s="1"/>
  <c r="I9" i="20"/>
  <c r="I21" i="20"/>
  <c r="C48" i="25"/>
  <c r="C39" i="25" s="1"/>
  <c r="B13" i="26"/>
  <c r="B16" i="26" s="1"/>
  <c r="B26" i="26"/>
  <c r="H23" i="26"/>
  <c r="H11" i="26"/>
  <c r="B45" i="26" l="1"/>
  <c r="B25" i="26"/>
  <c r="B27" i="26"/>
  <c r="B24" i="26"/>
  <c r="C22" i="25"/>
  <c r="C11" i="25"/>
  <c r="D22" i="24"/>
  <c r="D11" i="24"/>
  <c r="C24" i="30"/>
  <c r="C25" i="30"/>
  <c r="C27" i="30"/>
  <c r="C45" i="30"/>
  <c r="F62" i="29"/>
  <c r="D71" i="29"/>
  <c r="D52" i="29"/>
  <c r="F52" i="29" s="1"/>
  <c r="I13" i="26"/>
  <c r="I26" i="26"/>
  <c r="C70" i="25"/>
  <c r="C62" i="25"/>
  <c r="D45" i="20"/>
  <c r="D25" i="20"/>
  <c r="D24" i="20"/>
  <c r="D27" i="20"/>
  <c r="H26" i="20"/>
  <c r="H13" i="20"/>
  <c r="B59" i="20"/>
  <c r="B73" i="20"/>
  <c r="B24" i="30"/>
  <c r="B27" i="30"/>
  <c r="B25" i="30"/>
  <c r="B45" i="30"/>
  <c r="H13" i="26"/>
  <c r="H26" i="26"/>
  <c r="I23" i="20"/>
  <c r="I11" i="20"/>
  <c r="D25" i="26"/>
  <c r="D45" i="26"/>
  <c r="D27" i="26"/>
  <c r="D24" i="26"/>
  <c r="I23" i="30"/>
  <c r="I11" i="30"/>
  <c r="C27" i="20"/>
  <c r="C25" i="20"/>
  <c r="C24" i="20"/>
  <c r="C45" i="20"/>
  <c r="D27" i="30"/>
  <c r="D25" i="30"/>
  <c r="D45" i="30"/>
  <c r="D24" i="30"/>
  <c r="D22" i="29"/>
  <c r="D11" i="29"/>
  <c r="H26" i="30"/>
  <c r="H13" i="30"/>
  <c r="D58" i="26" l="1"/>
  <c r="F45" i="26"/>
  <c r="D63" i="26"/>
  <c r="D46" i="26"/>
  <c r="C63" i="30"/>
  <c r="C64" i="30" s="1"/>
  <c r="C46" i="30"/>
  <c r="C58" i="30"/>
  <c r="H14" i="26"/>
  <c r="H16" i="26"/>
  <c r="H16" i="20"/>
  <c r="H14" i="20"/>
  <c r="I13" i="20"/>
  <c r="I26" i="20"/>
  <c r="B58" i="30"/>
  <c r="B63" i="30"/>
  <c r="B64" i="30" s="1"/>
  <c r="B46" i="30"/>
  <c r="D58" i="20"/>
  <c r="D63" i="20"/>
  <c r="D46" i="20"/>
  <c r="F45" i="20"/>
  <c r="D46" i="30"/>
  <c r="D63" i="30"/>
  <c r="F45" i="30"/>
  <c r="D58" i="30"/>
  <c r="H14" i="30"/>
  <c r="H16" i="30"/>
  <c r="C46" i="20"/>
  <c r="C58" i="20"/>
  <c r="C63" i="20"/>
  <c r="C64" i="20" s="1"/>
  <c r="I13" i="30"/>
  <c r="I26" i="30"/>
  <c r="C52" i="25"/>
  <c r="C71" i="25"/>
  <c r="I14" i="26"/>
  <c r="I16" i="26" s="1"/>
  <c r="B46" i="26"/>
  <c r="B63" i="26"/>
  <c r="B64" i="26" s="1"/>
  <c r="B58" i="26"/>
  <c r="I27" i="26" l="1"/>
  <c r="I24" i="26"/>
  <c r="H27" i="20"/>
  <c r="H24" i="20"/>
  <c r="H25" i="20"/>
  <c r="H24" i="26"/>
  <c r="H25" i="26"/>
  <c r="H27" i="26"/>
  <c r="C59" i="30"/>
  <c r="C73" i="30"/>
  <c r="D64" i="26"/>
  <c r="F64" i="26" s="1"/>
  <c r="F63" i="26"/>
  <c r="I14" i="30"/>
  <c r="I16" i="30"/>
  <c r="F58" i="30"/>
  <c r="D73" i="30"/>
  <c r="D59" i="30"/>
  <c r="H58" i="30"/>
  <c r="B73" i="30"/>
  <c r="B59" i="30"/>
  <c r="H58" i="20"/>
  <c r="D59" i="20"/>
  <c r="D73" i="20"/>
  <c r="F58" i="20"/>
  <c r="C59" i="20"/>
  <c r="C73" i="20"/>
  <c r="F63" i="30"/>
  <c r="D64" i="30"/>
  <c r="F64" i="30" s="1"/>
  <c r="I14" i="20"/>
  <c r="I16" i="20"/>
  <c r="H24" i="30"/>
  <c r="H27" i="30"/>
  <c r="H25" i="30"/>
  <c r="D64" i="20"/>
  <c r="F64" i="20" s="1"/>
  <c r="F63" i="20"/>
  <c r="B59" i="26"/>
  <c r="B73" i="26"/>
  <c r="F58" i="26"/>
  <c r="H58" i="26"/>
  <c r="D59" i="26"/>
  <c r="D73" i="26"/>
  <c r="I58" i="30" l="1"/>
  <c r="I57" i="30" s="1"/>
  <c r="H57" i="30"/>
  <c r="I24" i="30"/>
  <c r="I27" i="30"/>
  <c r="I25" i="30"/>
  <c r="I25" i="20"/>
  <c r="I27" i="20"/>
  <c r="I24" i="20"/>
  <c r="I58" i="20"/>
  <c r="I57" i="20" s="1"/>
  <c r="H57" i="20"/>
  <c r="I58" i="26"/>
  <c r="I57" i="26" s="1"/>
  <c r="H57" i="26"/>
  <c r="I25" i="26"/>
  <c r="H59" i="26" l="1"/>
  <c r="H74" i="26"/>
  <c r="I74" i="26"/>
  <c r="I59" i="26"/>
  <c r="H59" i="20"/>
  <c r="H74" i="20"/>
  <c r="H59" i="30"/>
  <c r="H74" i="30"/>
  <c r="I59" i="20"/>
  <c r="I74" i="20"/>
  <c r="I74" i="30"/>
  <c r="I59" i="30"/>
  <c r="D24" i="29"/>
  <c r="D23" i="29"/>
  <c r="D26" i="29"/>
  <c r="C24" i="25"/>
  <c r="C23" i="25"/>
  <c r="C26" i="25"/>
  <c r="D74" i="25"/>
  <c r="F56" i="25"/>
  <c r="D73" i="25"/>
  <c r="F56" i="24"/>
  <c r="D74" i="24"/>
  <c r="D73" i="24"/>
  <c r="D23" i="24"/>
  <c r="D26" i="24"/>
  <c r="D24" i="24"/>
  <c r="F59" i="25"/>
  <c r="C57" i="29"/>
  <c r="C57" i="24"/>
  <c r="F56" i="29"/>
  <c r="D73" i="29"/>
  <c r="D74" i="29"/>
  <c r="C73" i="25"/>
  <c r="C74" i="25"/>
  <c r="C73" i="29"/>
  <c r="C74" i="29"/>
  <c r="C36" i="24"/>
  <c r="D14" i="29"/>
  <c r="C74" i="24"/>
  <c r="C73" i="24"/>
  <c r="C64" i="24"/>
  <c r="D72" i="25"/>
  <c r="F41" i="24"/>
  <c r="C72" i="29"/>
  <c r="C25" i="24"/>
  <c r="D24" i="25"/>
  <c r="D26" i="25"/>
  <c r="D23" i="25"/>
  <c r="D54" i="25"/>
  <c r="D25" i="25"/>
  <c r="C72" i="25"/>
  <c r="C36" i="25"/>
  <c r="B25" i="29"/>
  <c r="C34" i="24"/>
  <c r="F64" i="29"/>
  <c r="F41" i="29"/>
  <c r="D36" i="24"/>
  <c r="F44" i="24"/>
  <c r="F63" i="29"/>
  <c r="D64" i="29"/>
  <c r="D72" i="24"/>
  <c r="D45" i="25"/>
  <c r="F45" i="25"/>
  <c r="C57" i="25"/>
  <c r="C14" i="25"/>
  <c r="F63" i="25"/>
  <c r="C24" i="29"/>
  <c r="C26" i="29"/>
  <c r="C23" i="29"/>
  <c r="F59" i="24"/>
  <c r="D15" i="29"/>
  <c r="D45" i="29"/>
  <c r="F45" i="29"/>
  <c r="C58" i="24"/>
  <c r="C59" i="24"/>
  <c r="C54" i="24"/>
  <c r="F63" i="24"/>
  <c r="C64" i="25"/>
  <c r="F41" i="25"/>
  <c r="C24" i="24"/>
  <c r="C23" i="24"/>
  <c r="C26" i="24"/>
  <c r="D64" i="25"/>
  <c r="F64" i="25"/>
  <c r="C46" i="25"/>
  <c r="C31" i="25"/>
  <c r="C34" i="25"/>
  <c r="C58" i="29"/>
  <c r="C59" i="29"/>
  <c r="C54" i="29"/>
  <c r="C25" i="29"/>
  <c r="D72" i="29"/>
  <c r="C56" i="29"/>
  <c r="F44" i="25"/>
  <c r="C36" i="29"/>
  <c r="D14" i="25"/>
  <c r="D15" i="25"/>
  <c r="B25" i="25"/>
  <c r="F44" i="29"/>
  <c r="C14" i="24"/>
  <c r="F59" i="29"/>
  <c r="B59" i="29"/>
  <c r="B54" i="29"/>
  <c r="B25" i="24"/>
  <c r="C56" i="24"/>
  <c r="D56" i="25"/>
  <c r="D58" i="25"/>
  <c r="D59" i="25"/>
  <c r="F31" i="25"/>
  <c r="D57" i="24"/>
  <c r="F57" i="24"/>
  <c r="F31" i="29"/>
  <c r="D14" i="24"/>
  <c r="C31" i="24"/>
  <c r="C14" i="29"/>
  <c r="D57" i="25"/>
  <c r="F57" i="25"/>
  <c r="C64" i="29"/>
  <c r="D12" i="24"/>
  <c r="D13" i="24"/>
  <c r="D15" i="24"/>
  <c r="D45" i="24"/>
  <c r="F45" i="24"/>
  <c r="D42" i="25"/>
  <c r="D46" i="25"/>
  <c r="D31" i="25"/>
  <c r="D34" i="25"/>
  <c r="D36" i="25"/>
  <c r="F31" i="24"/>
  <c r="D42" i="24"/>
  <c r="D46" i="24"/>
  <c r="D31" i="24"/>
  <c r="D34" i="24"/>
  <c r="D54" i="29"/>
  <c r="D25" i="29"/>
  <c r="D41" i="24"/>
  <c r="D56" i="24"/>
  <c r="D58" i="24"/>
  <c r="D59" i="24"/>
  <c r="D54" i="24"/>
  <c r="D25" i="24"/>
  <c r="C46" i="24"/>
  <c r="C42" i="24"/>
  <c r="C72" i="24"/>
  <c r="B59" i="24"/>
  <c r="B54" i="24"/>
  <c r="C42" i="25"/>
  <c r="D56" i="29"/>
  <c r="D58" i="29"/>
  <c r="D59" i="29"/>
  <c r="D57" i="29"/>
  <c r="F57" i="29"/>
  <c r="D12" i="29"/>
  <c r="D13" i="29"/>
  <c r="C56" i="25"/>
  <c r="C58" i="25"/>
  <c r="C59" i="25"/>
  <c r="C54" i="25"/>
  <c r="C25" i="25"/>
  <c r="C63" i="24"/>
  <c r="C41" i="24"/>
  <c r="C12" i="24"/>
  <c r="C13" i="24"/>
  <c r="C15" i="24"/>
  <c r="C45" i="24"/>
  <c r="D44" i="24"/>
  <c r="D63" i="24"/>
  <c r="D64" i="24"/>
  <c r="F64" i="24"/>
  <c r="D44" i="25"/>
  <c r="D63" i="25"/>
  <c r="D41" i="25"/>
  <c r="D12" i="25"/>
  <c r="D13" i="25"/>
  <c r="C42" i="29"/>
  <c r="C46" i="29"/>
  <c r="C31" i="29"/>
  <c r="C34" i="29"/>
  <c r="C63" i="29"/>
  <c r="C41" i="29"/>
  <c r="C12" i="29"/>
  <c r="C13" i="29"/>
  <c r="C15" i="29"/>
  <c r="C45" i="29"/>
  <c r="D44" i="29"/>
  <c r="D63" i="29"/>
  <c r="D41" i="29"/>
  <c r="D42" i="29"/>
  <c r="D46" i="29"/>
  <c r="D31" i="29"/>
  <c r="D34" i="29"/>
  <c r="D36" i="29"/>
  <c r="B59" i="25"/>
  <c r="B54" i="25"/>
  <c r="C15" i="25"/>
  <c r="C45" i="25"/>
  <c r="C63" i="25"/>
  <c r="C41" i="25"/>
  <c r="C12" i="25"/>
  <c r="C13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Abascal:
See the hypothesis in line 76. y
You may change the hypothesis and automatically generate the P&amp;L and balance sheets.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Abascal
Ver hipótesis en líne 76 y siguientes. 
Puedes cambiar las hipótesis y automáticamente se generan la cuenta de PyG y balances.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Abascal
Ver as hipóteses na linha 76 e seguinteshipótesis en líne 76 y siguientes. Vc pode mudar as hipóteses e automaticam serão gerados as contas de resultados e balanços.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Abascal
Ver as hipóteses na linha 76 e seguinteshipótesis en líne 76 y siguientes. Vc pode mudar as hipóteses e automaticam serão gerados as contas de resultados e balanços.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A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Abascal
Ver as hipóteses na linha 76 e seguinteshipótesis en líne 76 y siguientes. Vc pode mudar as hipóteses e automaticam serão gerados as contas de resultados e balanços.</t>
        </r>
      </text>
    </comment>
  </commentList>
</comments>
</file>

<file path=xl/sharedStrings.xml><?xml version="1.0" encoding="utf-8"?>
<sst xmlns="http://schemas.openxmlformats.org/spreadsheetml/2006/main" count="840" uniqueCount="405">
  <si>
    <t>Gastos generales</t>
  </si>
  <si>
    <t>Intereses</t>
  </si>
  <si>
    <t>Amortización</t>
  </si>
  <si>
    <t>Impuestos</t>
  </si>
  <si>
    <t xml:space="preserve"> </t>
  </si>
  <si>
    <t>Crecimiento ventas</t>
  </si>
  <si>
    <t>Clientes días</t>
  </si>
  <si>
    <t>Proveedores días</t>
  </si>
  <si>
    <t>Real</t>
  </si>
  <si>
    <t>Existencias días</t>
  </si>
  <si>
    <t>Sales</t>
  </si>
  <si>
    <t>COGS</t>
  </si>
  <si>
    <t>Gross Margin</t>
  </si>
  <si>
    <t>Salaries</t>
  </si>
  <si>
    <t>Overhead</t>
  </si>
  <si>
    <t>Depreciation</t>
  </si>
  <si>
    <t>EBIT</t>
  </si>
  <si>
    <t>EBT</t>
  </si>
  <si>
    <t>Net Income</t>
  </si>
  <si>
    <t>Purchases</t>
  </si>
  <si>
    <t>Cash</t>
  </si>
  <si>
    <t>Receivables</t>
  </si>
  <si>
    <t>Inventory</t>
  </si>
  <si>
    <t>Payables</t>
  </si>
  <si>
    <t>Bank Credit</t>
  </si>
  <si>
    <t>Loan</t>
  </si>
  <si>
    <t>Total Liab.+ Equity</t>
  </si>
  <si>
    <t>NFO</t>
  </si>
  <si>
    <t>Equity</t>
  </si>
  <si>
    <t>EBITDA</t>
  </si>
  <si>
    <t>WC</t>
  </si>
  <si>
    <t>NFO / Sales in %</t>
  </si>
  <si>
    <t>Profit and Loss Statement</t>
  </si>
  <si>
    <t>Taxes (30%)</t>
  </si>
  <si>
    <t>EBITDA / Sales</t>
  </si>
  <si>
    <t>Assets</t>
  </si>
  <si>
    <t>Liabilities + Equity</t>
  </si>
  <si>
    <t xml:space="preserve">     Credit needed (-)</t>
  </si>
  <si>
    <t>Receivables in days</t>
  </si>
  <si>
    <t>Inventory in days</t>
  </si>
  <si>
    <t>Payables in days</t>
  </si>
  <si>
    <t>Leverage = Liab. / Equity</t>
  </si>
  <si>
    <t>Growth of 20% and 10%</t>
  </si>
  <si>
    <t>COGS of 83% and 84%</t>
  </si>
  <si>
    <t>10% of FA previous year</t>
  </si>
  <si>
    <t>30% of EBT</t>
  </si>
  <si>
    <t>10% of Debt this year</t>
  </si>
  <si>
    <t>Increase with sales 20% and 10%</t>
  </si>
  <si>
    <t>Hypothesis</t>
  </si>
  <si>
    <t>Minimum 50</t>
  </si>
  <si>
    <t>90 days</t>
  </si>
  <si>
    <t>20 days</t>
  </si>
  <si>
    <t>30 days</t>
  </si>
  <si>
    <t>No dividends paid</t>
  </si>
  <si>
    <t>Pays 500 per year</t>
  </si>
  <si>
    <t>ROS</t>
  </si>
  <si>
    <t>ROE</t>
  </si>
  <si>
    <t>CMV</t>
  </si>
  <si>
    <t>Clientes</t>
  </si>
  <si>
    <t>Compras</t>
  </si>
  <si>
    <t>NOF</t>
  </si>
  <si>
    <t>Previsión</t>
  </si>
  <si>
    <t>Vendas</t>
  </si>
  <si>
    <t>Impostos (30%)</t>
  </si>
  <si>
    <t>Crescimento das vendas</t>
  </si>
  <si>
    <t>Ativo</t>
  </si>
  <si>
    <t>Caixa</t>
  </si>
  <si>
    <t>Estoques</t>
  </si>
  <si>
    <t>Fornecedores</t>
  </si>
  <si>
    <t>Crédito bancário</t>
  </si>
  <si>
    <t>Lucro do ano</t>
  </si>
  <si>
    <t>CG</t>
  </si>
  <si>
    <t>Caixa excedente (+)</t>
  </si>
  <si>
    <t>Índices do balanço</t>
  </si>
  <si>
    <t>Crescimento 20% e 10%</t>
  </si>
  <si>
    <t>CMV de  83% e 84%</t>
  </si>
  <si>
    <t>Cresce com as vendas, 20% e 10%</t>
  </si>
  <si>
    <t>10% do AF do ano anterior</t>
  </si>
  <si>
    <t>10% da dívida deste ano</t>
  </si>
  <si>
    <t>30% do EBT</t>
  </si>
  <si>
    <t>Hipóteses</t>
  </si>
  <si>
    <t>Caixa mínimo 50</t>
  </si>
  <si>
    <t>90 dias</t>
  </si>
  <si>
    <t>20 dias</t>
  </si>
  <si>
    <t>30 dias</t>
  </si>
  <si>
    <t>Não paga dividendos</t>
  </si>
  <si>
    <t>Cuenta de Resultados</t>
  </si>
  <si>
    <t>Ventas</t>
  </si>
  <si>
    <t>Crecimiento 20% y 10%</t>
  </si>
  <si>
    <t>CMV del  83% y 84%</t>
  </si>
  <si>
    <t>Margen bruto</t>
  </si>
  <si>
    <t>Salarios</t>
  </si>
  <si>
    <t>Crece con las ventas, 20% y 10%</t>
  </si>
  <si>
    <t>10% del AF del año anterior</t>
  </si>
  <si>
    <t>EBIT o BAIT</t>
  </si>
  <si>
    <t>Gastos financieros</t>
  </si>
  <si>
    <t>10% de la deuda de este año</t>
  </si>
  <si>
    <t>EBT o BAT</t>
  </si>
  <si>
    <t>Impuestos (30%)</t>
  </si>
  <si>
    <t>30% de EBT</t>
  </si>
  <si>
    <t xml:space="preserve">BN Beneficio neto </t>
  </si>
  <si>
    <t>Ratios de cuenta de resultados</t>
  </si>
  <si>
    <t>Crecimiento de ventas</t>
  </si>
  <si>
    <t>Beneficio neto + amortización</t>
  </si>
  <si>
    <t>Activo</t>
  </si>
  <si>
    <t>Hipótesis</t>
  </si>
  <si>
    <t>Caja</t>
  </si>
  <si>
    <t>Caja mínima 50</t>
  </si>
  <si>
    <t>90 días</t>
  </si>
  <si>
    <t>Existencias</t>
  </si>
  <si>
    <t>20 días</t>
  </si>
  <si>
    <t>Activo circulante,  AC</t>
  </si>
  <si>
    <t>Activo fijo neto,  AF</t>
  </si>
  <si>
    <t>AF neto constante</t>
  </si>
  <si>
    <t>Activo total</t>
  </si>
  <si>
    <t>Proveedores</t>
  </si>
  <si>
    <t>30 días</t>
  </si>
  <si>
    <t>Crédito bancario</t>
  </si>
  <si>
    <t>Cifra de cierre</t>
  </si>
  <si>
    <t>Préstamo bancario</t>
  </si>
  <si>
    <t>Devuelve  500 por año</t>
  </si>
  <si>
    <t>Recursos propios</t>
  </si>
  <si>
    <t>No paga dividendos</t>
  </si>
  <si>
    <t xml:space="preserve">Beneficio del año </t>
  </si>
  <si>
    <t>Total pasivo</t>
  </si>
  <si>
    <t>Nueva inversión bruta</t>
  </si>
  <si>
    <t>Balance resumido</t>
  </si>
  <si>
    <t>Caja excedente</t>
  </si>
  <si>
    <t>NOF o circulante neto</t>
  </si>
  <si>
    <t>AF o activo fijo neto</t>
  </si>
  <si>
    <t>AN o activos netos</t>
  </si>
  <si>
    <t>Deuda (a largo y corto)</t>
  </si>
  <si>
    <t>Recursos propios + Beneficio</t>
  </si>
  <si>
    <t>Total financiación</t>
  </si>
  <si>
    <t>Extracto del balance  usado en finanzas operativas</t>
  </si>
  <si>
    <t>FM</t>
  </si>
  <si>
    <t>Caja excedente (+)</t>
  </si>
  <si>
    <t>Ratios de balance</t>
  </si>
  <si>
    <t>Días de cobro</t>
  </si>
  <si>
    <t>Días de existencias</t>
  </si>
  <si>
    <t>Días de pago</t>
  </si>
  <si>
    <t>NOF / Ventas en %</t>
  </si>
  <si>
    <t>Apalancamiento</t>
  </si>
  <si>
    <t>Deuda / Ebitda</t>
  </si>
  <si>
    <t>Based on COGS of this year</t>
  </si>
  <si>
    <t>Basado en CMV de este año</t>
  </si>
  <si>
    <t>Debt</t>
  </si>
  <si>
    <t>na</t>
  </si>
  <si>
    <t>Minorities</t>
  </si>
  <si>
    <t>Taxes</t>
  </si>
  <si>
    <t>Pasivo circulantes</t>
  </si>
  <si>
    <t>ROE, rentab. recursos propios</t>
  </si>
  <si>
    <t>ROS, rentabilidad s/ ventas</t>
  </si>
  <si>
    <t>Minoritarios</t>
  </si>
  <si>
    <t>Otros gastos operativos</t>
  </si>
  <si>
    <t>Gastos de ventas y advos.</t>
  </si>
  <si>
    <t>(thousand of reales)</t>
  </si>
  <si>
    <t>Opex / Sales</t>
  </si>
  <si>
    <t>Increase of Opex</t>
  </si>
  <si>
    <t>Using 365 days</t>
  </si>
  <si>
    <t>Debt  / Ebitda</t>
  </si>
  <si>
    <t>Hypothesis for 2012 and 2013</t>
  </si>
  <si>
    <t>HYPOTHESIS IN BOLD</t>
  </si>
  <si>
    <t>Opex o Gastos estructura</t>
  </si>
  <si>
    <t>Margen bruto / Ventas</t>
  </si>
  <si>
    <t>Opex / Ventas</t>
  </si>
  <si>
    <t>Aumento de Opex</t>
  </si>
  <si>
    <t>EBITDA / Ventas</t>
  </si>
  <si>
    <t>(miles de reales)</t>
  </si>
  <si>
    <t>Hipótesis para 2012 y 2013</t>
  </si>
  <si>
    <t>COAF 2009-11</t>
  </si>
  <si>
    <t>SUF 2011-13</t>
  </si>
  <si>
    <t>Variación AF + amortización</t>
  </si>
  <si>
    <t>Con año de  365 días</t>
  </si>
  <si>
    <t>Daily</t>
  </si>
  <si>
    <t>Otros acreedores</t>
  </si>
  <si>
    <t>2% of sales</t>
  </si>
  <si>
    <t>2% de ventas</t>
  </si>
  <si>
    <t>HYPOTHESIS OF P&amp;L</t>
  </si>
  <si>
    <t>COGS in %</t>
  </si>
  <si>
    <t>HYPOTHESIS FOR THE BALANCE</t>
  </si>
  <si>
    <t>Opex</t>
  </si>
  <si>
    <t>Previsto</t>
  </si>
  <si>
    <t>SUF 2008-11</t>
  </si>
  <si>
    <t>Verify: Cash - Credit  =</t>
  </si>
  <si>
    <t>Forecast</t>
  </si>
  <si>
    <t>(million of Euros)</t>
  </si>
  <si>
    <t>Assets (million Euros)</t>
  </si>
  <si>
    <t>Pérdidas y Ganancias PyG</t>
  </si>
  <si>
    <t>(millones Euros)</t>
  </si>
  <si>
    <t>Resultado financiero</t>
  </si>
  <si>
    <t>Resultado del ejercicio</t>
  </si>
  <si>
    <t>CFO CF operativo</t>
  </si>
  <si>
    <t>Activo (millón Euros)</t>
  </si>
  <si>
    <t xml:space="preserve">Pasivo y rec. propios </t>
  </si>
  <si>
    <t>Verificación: Caja - Crédito  =</t>
  </si>
  <si>
    <t>Debe ser igual a línea 64.</t>
  </si>
  <si>
    <t>Hypothesis for the Forecast</t>
  </si>
  <si>
    <t>COAF 2008-11</t>
  </si>
  <si>
    <r>
      <t xml:space="preserve">     </t>
    </r>
    <r>
      <rPr>
        <sz val="9"/>
        <rFont val="Geneva"/>
      </rPr>
      <t>o</t>
    </r>
    <r>
      <rPr>
        <i/>
        <sz val="9"/>
        <rFont val="Geneva"/>
      </rPr>
      <t xml:space="preserve"> crédito necesario (-)</t>
    </r>
  </si>
  <si>
    <t>CMV en %</t>
  </si>
  <si>
    <t>Other Liabilities as % of sales</t>
  </si>
  <si>
    <t>Pay Out</t>
  </si>
  <si>
    <t>Minimum Cash</t>
  </si>
  <si>
    <t>CMV + variac. existencias</t>
  </si>
  <si>
    <t>BALANCE CALCULADO EN FUNCIÓN DEL AÑO QUE TERMINA NO DEL SIGUIENTE</t>
  </si>
  <si>
    <t>HIPÓTESIS CUENTA DE RDOS</t>
  </si>
  <si>
    <t>HIPÓTESIS DE BALANCE</t>
  </si>
  <si>
    <t>New Investment FA Gross</t>
  </si>
  <si>
    <t>Opex Operating Expenses</t>
  </si>
  <si>
    <t>Financial Expenses</t>
  </si>
  <si>
    <t>P&amp;L Ratios (Profitability Ratios)</t>
  </si>
  <si>
    <t>Growth of Sales</t>
  </si>
  <si>
    <t>Gross Margin / Sales</t>
  </si>
  <si>
    <t>ROS, Return on Sales</t>
  </si>
  <si>
    <t>ROE, Return on Equity</t>
  </si>
  <si>
    <t>CFO, Cash Flow from Operations</t>
  </si>
  <si>
    <t>Current Assets, CA</t>
  </si>
  <si>
    <t>Fixed Assets Net, FA</t>
  </si>
  <si>
    <t>Total Assets</t>
  </si>
  <si>
    <t>Other Liabilities</t>
  </si>
  <si>
    <t>Current Liabilities</t>
  </si>
  <si>
    <t>Loan (Long Term Debt)</t>
  </si>
  <si>
    <t>Equity + Reserves</t>
  </si>
  <si>
    <t>Net Income of the year</t>
  </si>
  <si>
    <t>New Investments FA Gross</t>
  </si>
  <si>
    <t>Short Balance Sheet</t>
  </si>
  <si>
    <t>NFO or Current Assets Net</t>
  </si>
  <si>
    <t>FA or Fixed Assets Net</t>
  </si>
  <si>
    <t>NA Net Assets</t>
  </si>
  <si>
    <t>Total Financing</t>
  </si>
  <si>
    <t>Cash Surplus ----&gt;</t>
  </si>
  <si>
    <t>Shortest  Balance Sheet Version - used in Operational Finance</t>
  </si>
  <si>
    <t>Cash Surplus (+)</t>
  </si>
  <si>
    <t xml:space="preserve">     Credit Needed (-)</t>
  </si>
  <si>
    <t>Balance Sheet Ratios</t>
  </si>
  <si>
    <t>Growth of Salaries in %</t>
  </si>
  <si>
    <t>Growth of Overhead in %</t>
  </si>
  <si>
    <t>Interest Rate</t>
  </si>
  <si>
    <t>Tax Rate</t>
  </si>
  <si>
    <t>Days of Collection</t>
  </si>
  <si>
    <t>Days of Inventory</t>
  </si>
  <si>
    <t>Days of Payment</t>
  </si>
  <si>
    <t>Other Liabilities % of Sales</t>
  </si>
  <si>
    <t>Increase of Long Term Debt</t>
  </si>
  <si>
    <t>Balance Sheet calculated ased on sales and VOGS of recent year not of next year</t>
  </si>
  <si>
    <t>Net Income + Depreciation</t>
  </si>
  <si>
    <t>Net FA Constant</t>
  </si>
  <si>
    <t>Plug Figure</t>
  </si>
  <si>
    <t>Variation FA Net  + Depreciation</t>
  </si>
  <si>
    <t>Marketing, Selling and Administrative Expenses</t>
  </si>
  <si>
    <t>Other Operating Expenses</t>
  </si>
  <si>
    <t>Financial Income / Expense</t>
  </si>
  <si>
    <t>Current Assets</t>
  </si>
  <si>
    <t>Fixed Assets Net</t>
  </si>
  <si>
    <t>New Investments Gross</t>
  </si>
  <si>
    <t>Cash Surplus</t>
  </si>
  <si>
    <r>
      <t xml:space="preserve">FA </t>
    </r>
    <r>
      <rPr>
        <sz val="9"/>
        <rFont val="Geneva"/>
      </rPr>
      <t>or</t>
    </r>
    <r>
      <rPr>
        <i/>
        <sz val="9"/>
        <rFont val="Geneva"/>
      </rPr>
      <t xml:space="preserve"> Fixed Assets Net</t>
    </r>
  </si>
  <si>
    <r>
      <t xml:space="preserve">NFO </t>
    </r>
    <r>
      <rPr>
        <sz val="9"/>
        <rFont val="Geneva"/>
      </rPr>
      <t>or</t>
    </r>
    <r>
      <rPr>
        <i/>
        <sz val="9"/>
        <rFont val="Geneva"/>
      </rPr>
      <t xml:space="preserve"> Current Assets Net</t>
    </r>
  </si>
  <si>
    <t>Shortest  Balance Sheet version - used in Operational Finance</t>
  </si>
  <si>
    <t>Variation Assets Net + Depreciation</t>
  </si>
  <si>
    <t>CFO, Cash Flow Operaciones</t>
  </si>
  <si>
    <t>Extracto del balance usado en finanzas operativas</t>
  </si>
  <si>
    <t>Hipótesis para previsión</t>
  </si>
  <si>
    <t>HIPÓTESIS IN BOLD</t>
  </si>
  <si>
    <t>Incr. deuda largo</t>
  </si>
  <si>
    <t>COGS + Variant of Inventory</t>
  </si>
  <si>
    <r>
      <t xml:space="preserve">NFO </t>
    </r>
    <r>
      <rPr>
        <sz val="9"/>
        <rFont val="Geneva"/>
      </rPr>
      <t>or</t>
    </r>
    <r>
      <rPr>
        <i/>
        <sz val="9"/>
        <rFont val="Geneva"/>
      </rPr>
      <t xml:space="preserve"> Current Assets net</t>
    </r>
  </si>
  <si>
    <r>
      <t>(</t>
    </r>
    <r>
      <rPr>
        <i/>
        <sz val="9"/>
        <rFont val="Geneva"/>
      </rPr>
      <t>Debt - Cash</t>
    </r>
    <r>
      <rPr>
        <sz val="9"/>
        <rFont val="Geneva"/>
      </rPr>
      <t xml:space="preserve">) </t>
    </r>
    <r>
      <rPr>
        <i/>
        <sz val="9"/>
        <rFont val="Geneva"/>
      </rPr>
      <t>/ Ebitda</t>
    </r>
  </si>
  <si>
    <r>
      <t>(</t>
    </r>
    <r>
      <rPr>
        <i/>
        <sz val="9"/>
        <rFont val="Geneva"/>
      </rPr>
      <t>Debt - Cash</t>
    </r>
    <r>
      <rPr>
        <sz val="9"/>
        <rFont val="Geneva"/>
      </rPr>
      <t>)</t>
    </r>
    <r>
      <rPr>
        <i/>
        <sz val="9"/>
        <rFont val="Geneva"/>
      </rPr>
      <t xml:space="preserve"> / Ebitda</t>
    </r>
  </si>
  <si>
    <t>Crecto mano de obra en%</t>
  </si>
  <si>
    <t>Crecto gastos generales</t>
  </si>
  <si>
    <r>
      <t>(</t>
    </r>
    <r>
      <rPr>
        <i/>
        <sz val="9"/>
        <rFont val="Geneva"/>
      </rPr>
      <t>Deuda - Caja</t>
    </r>
    <r>
      <rPr>
        <sz val="9"/>
        <rFont val="Geneva"/>
      </rPr>
      <t xml:space="preserve">) </t>
    </r>
    <r>
      <rPr>
        <i/>
        <sz val="9"/>
        <rFont val="Geneva"/>
      </rPr>
      <t>/ Ebitda</t>
    </r>
  </si>
  <si>
    <r>
      <t xml:space="preserve">Apalancamiento </t>
    </r>
    <r>
      <rPr>
        <sz val="9"/>
        <rFont val="Geneva"/>
      </rPr>
      <t>(</t>
    </r>
    <r>
      <rPr>
        <i/>
        <sz val="9"/>
        <rFont val="Geneva"/>
      </rPr>
      <t>pasivo /  rec. propios)</t>
    </r>
  </si>
  <si>
    <r>
      <t xml:space="preserve">NOF </t>
    </r>
    <r>
      <rPr>
        <sz val="9"/>
        <rFont val="Geneva"/>
      </rPr>
      <t xml:space="preserve">o </t>
    </r>
    <r>
      <rPr>
        <i/>
        <sz val="9"/>
        <rFont val="Geneva"/>
      </rPr>
      <t>circulante neto</t>
    </r>
  </si>
  <si>
    <r>
      <t xml:space="preserve">AF </t>
    </r>
    <r>
      <rPr>
        <sz val="9"/>
        <rFont val="Geneva"/>
      </rPr>
      <t>o</t>
    </r>
    <r>
      <rPr>
        <i/>
        <sz val="9"/>
        <rFont val="Geneva"/>
      </rPr>
      <t xml:space="preserve"> activo fijo neto</t>
    </r>
  </si>
  <si>
    <r>
      <t xml:space="preserve">AN </t>
    </r>
    <r>
      <rPr>
        <sz val="9"/>
        <rFont val="Geneva"/>
      </rPr>
      <t>o</t>
    </r>
    <r>
      <rPr>
        <i/>
        <sz val="9"/>
        <rFont val="Geneva"/>
      </rPr>
      <t xml:space="preserve"> activos netos</t>
    </r>
  </si>
  <si>
    <r>
      <t xml:space="preserve">Apalancamiento </t>
    </r>
    <r>
      <rPr>
        <sz val="9"/>
        <rFont val="Geneva"/>
      </rPr>
      <t>(</t>
    </r>
    <r>
      <rPr>
        <i/>
        <sz val="9"/>
        <rFont val="Geneva"/>
      </rPr>
      <t>pasivo / rec. propios)</t>
    </r>
  </si>
  <si>
    <r>
      <t>(</t>
    </r>
    <r>
      <rPr>
        <i/>
        <sz val="9"/>
        <rFont val="Geneva"/>
      </rPr>
      <t>Deuda - Caja</t>
    </r>
    <r>
      <rPr>
        <sz val="9"/>
        <rFont val="Geneva"/>
      </rPr>
      <t>)</t>
    </r>
    <r>
      <rPr>
        <i/>
        <sz val="9"/>
        <rFont val="Geneva"/>
      </rPr>
      <t xml:space="preserve"> / Ebitda</t>
    </r>
  </si>
  <si>
    <t>Variación AF + Amortización</t>
  </si>
  <si>
    <t>CMV + Variac. existencias</t>
  </si>
  <si>
    <r>
      <t xml:space="preserve">Deuda </t>
    </r>
    <r>
      <rPr>
        <sz val="9"/>
        <rFont val="Geneva"/>
      </rPr>
      <t>(</t>
    </r>
    <r>
      <rPr>
        <i/>
        <sz val="9"/>
        <rFont val="Geneva"/>
      </rPr>
      <t>a largo y corto)</t>
    </r>
  </si>
  <si>
    <t>NA or Net Assets</t>
  </si>
  <si>
    <t>D, Debt</t>
  </si>
  <si>
    <t>E, Equity</t>
  </si>
  <si>
    <t>D, Deuda (a largo y corto)</t>
  </si>
  <si>
    <t>RP, Rec propios + Benef.</t>
  </si>
  <si>
    <t>Total Financing (D + E)</t>
  </si>
  <si>
    <t>AN o activo neto</t>
  </si>
  <si>
    <t>ROS, Net Income / Sales</t>
  </si>
  <si>
    <t xml:space="preserve">ROE, Net Income / Equity </t>
  </si>
  <si>
    <t>ROS, Beneficio neto / ventas</t>
  </si>
  <si>
    <t>ROE, Benf neto / rec propios</t>
  </si>
  <si>
    <t>The result must be the same as in line 64</t>
  </si>
  <si>
    <t>Deuda / Benef neto</t>
  </si>
  <si>
    <t>Debt  / Net Income</t>
  </si>
  <si>
    <t>RONA, EBIT / Net Assets</t>
  </si>
  <si>
    <t>RONA, Return on Net Assets</t>
  </si>
  <si>
    <t>RONA, EBIT / activo neto</t>
  </si>
  <si>
    <t>RONA, rentabilidad  activo</t>
  </si>
  <si>
    <t>Conta de Resultados</t>
  </si>
  <si>
    <t>(em R$ mil)</t>
  </si>
  <si>
    <t>Hipóteses para 2012 e 2013</t>
  </si>
  <si>
    <t>Margem Bruta</t>
  </si>
  <si>
    <t>Salário</t>
  </si>
  <si>
    <t>Despesas Gerais</t>
  </si>
  <si>
    <t>Depreciação</t>
  </si>
  <si>
    <t>EBIT ou LAJIR</t>
  </si>
  <si>
    <t>Despesas Financeiras</t>
  </si>
  <si>
    <t>EBT ou LAIR</t>
  </si>
  <si>
    <t>LL Lucro Líquido</t>
  </si>
  <si>
    <t>Índices da conta de resultados</t>
  </si>
  <si>
    <t>Margen bruta / Vendas</t>
  </si>
  <si>
    <t>Opex / Vendas</t>
  </si>
  <si>
    <t>EBITDA / Vendas</t>
  </si>
  <si>
    <t>ROE, Lucro Líq. / PL</t>
  </si>
  <si>
    <t>ROS, Lucro Líq. / Vendas</t>
  </si>
  <si>
    <t>RONA, EBIT / Ativo Líquido</t>
  </si>
  <si>
    <t>CFO, FC operacional</t>
  </si>
  <si>
    <t>Lucro Líquido + Depreciação</t>
  </si>
  <si>
    <t>Clientes ou Contas a Rec.</t>
  </si>
  <si>
    <t>Ativo Circulante,  AC</t>
  </si>
  <si>
    <t>Ativo Fixo Líquido,  AF</t>
  </si>
  <si>
    <t>Ativo Total</t>
  </si>
  <si>
    <t>DOAR 2009-11</t>
  </si>
  <si>
    <t>AF Líq. Constante</t>
  </si>
  <si>
    <t>Passivo e Patrimônio Líquido</t>
  </si>
  <si>
    <t>Outros Passivos</t>
  </si>
  <si>
    <t>Passivo Circulante</t>
  </si>
  <si>
    <t>Empréstimo Bancário</t>
  </si>
  <si>
    <t>Recursos Próprios</t>
  </si>
  <si>
    <t>2% das vendas</t>
  </si>
  <si>
    <t>Valor de fechamento</t>
  </si>
  <si>
    <t>Amortiza 500 por ano</t>
  </si>
  <si>
    <t>Novos investimentos brutos</t>
  </si>
  <si>
    <t>CMV + variação de estoques</t>
  </si>
  <si>
    <t>Variação do AF + depreciação</t>
  </si>
  <si>
    <t>Balanço simplificado</t>
  </si>
  <si>
    <t>NOF ou circulante líq.</t>
  </si>
  <si>
    <t>AF o u Ativo Fixo Líquido</t>
  </si>
  <si>
    <t>AL ou Ativo Líquido</t>
  </si>
  <si>
    <t>D, Dívida (de curto e longo)</t>
  </si>
  <si>
    <t>PL, Patrimônio Líquido</t>
  </si>
  <si>
    <t>Excedente de Caixa ----&gt;</t>
  </si>
  <si>
    <t>Extrato do balanço usado em finanças operacionais</t>
  </si>
  <si>
    <r>
      <t xml:space="preserve">     </t>
    </r>
    <r>
      <rPr>
        <sz val="9"/>
        <rFont val="Geneva"/>
      </rPr>
      <t xml:space="preserve">ou crédito necessário </t>
    </r>
    <r>
      <rPr>
        <i/>
        <sz val="9"/>
        <rFont val="Geneva"/>
      </rPr>
      <t>(-)</t>
    </r>
  </si>
  <si>
    <t>Dias de Estoques</t>
  </si>
  <si>
    <t>Días de Cobrança</t>
  </si>
  <si>
    <t>Dias de Pagamento</t>
  </si>
  <si>
    <t>NOF / Vendas (em %)</t>
  </si>
  <si>
    <t>Alavancagem</t>
  </si>
  <si>
    <t>Dívida /  Ebitda</t>
  </si>
  <si>
    <t>Dívida / Lucro Líquido</t>
  </si>
  <si>
    <t>Com um ano de 365 dias</t>
  </si>
  <si>
    <t>Baseado no CMV deste ano</t>
  </si>
  <si>
    <t>Minoritários</t>
  </si>
  <si>
    <t>Lucro Líquido do exercício</t>
  </si>
  <si>
    <t>Previsão</t>
  </si>
  <si>
    <t>Hipóteses para previsão</t>
  </si>
  <si>
    <r>
      <t xml:space="preserve">Ativo (em </t>
    </r>
    <r>
      <rPr>
        <b/>
        <sz val="10"/>
        <rFont val="Calibri"/>
        <family val="2"/>
      </rPr>
      <t>€</t>
    </r>
    <r>
      <rPr>
        <b/>
        <sz val="10"/>
        <rFont val="Geneva"/>
      </rPr>
      <t xml:space="preserve"> milhões)</t>
    </r>
  </si>
  <si>
    <t>(em € milhões)</t>
  </si>
  <si>
    <t>DOAR 2008-11</t>
  </si>
  <si>
    <t>Caixa Excedente</t>
  </si>
  <si>
    <t>Patrimônio Líquido</t>
  </si>
  <si>
    <t>Total Financiamento</t>
  </si>
  <si>
    <t>Verificação: Caixa - Crédito  =</t>
  </si>
  <si>
    <t>Deveria ser igual à linha 64.</t>
  </si>
  <si>
    <t>Hipótese para previsão</t>
  </si>
  <si>
    <t>Índices do Balanço</t>
  </si>
  <si>
    <r>
      <t xml:space="preserve">Alavancagem </t>
    </r>
    <r>
      <rPr>
        <sz val="9"/>
        <rFont val="Geneva"/>
      </rPr>
      <t>(</t>
    </r>
    <r>
      <rPr>
        <i/>
        <sz val="9"/>
        <rFont val="Geneva"/>
      </rPr>
      <t>passivo /  PL)</t>
    </r>
  </si>
  <si>
    <r>
      <t xml:space="preserve">(Dívida - Caixa) </t>
    </r>
    <r>
      <rPr>
        <i/>
        <sz val="9"/>
        <rFont val="Geneva"/>
      </rPr>
      <t>/ Ebitda</t>
    </r>
  </si>
  <si>
    <t>Lucro Líquido</t>
  </si>
  <si>
    <t>Ativos</t>
  </si>
  <si>
    <t>Giro</t>
  </si>
  <si>
    <t>Alavacangem</t>
  </si>
  <si>
    <t>ROA</t>
  </si>
  <si>
    <t>Loja A</t>
  </si>
  <si>
    <t>Loja B</t>
  </si>
  <si>
    <t>Janeiro</t>
  </si>
  <si>
    <t>Fevereiro</t>
  </si>
  <si>
    <t>Março</t>
  </si>
  <si>
    <t>Abril</t>
  </si>
  <si>
    <t>Maio</t>
  </si>
  <si>
    <t>Junho</t>
  </si>
  <si>
    <t>Clientes, 30 dias</t>
  </si>
  <si>
    <t>Clientes, 60 dias</t>
  </si>
  <si>
    <t>Clientes, 90 dias</t>
  </si>
  <si>
    <t>1.200</t>
  </si>
  <si>
    <t>HIPÓTESE EM NEGRITO</t>
  </si>
  <si>
    <t>BALANÇO CALCULADO EM FUNÇÃO DO ANO QUE TERMINA (NÃO DO ANO SEGUINTE)</t>
  </si>
  <si>
    <t>HIPÓTESES DO P&amp;L</t>
  </si>
  <si>
    <t>Crescimento vendas</t>
  </si>
  <si>
    <t>CMV em %</t>
  </si>
  <si>
    <t>Mão-de-obra em %</t>
  </si>
  <si>
    <t>Juros</t>
  </si>
  <si>
    <t>Impostos</t>
  </si>
  <si>
    <t>HIPÓTESES DO BALANÇO</t>
  </si>
  <si>
    <t>Clientes, dias</t>
  </si>
  <si>
    <t>Estoques, dias</t>
  </si>
  <si>
    <t>Fornecedores, dias</t>
  </si>
  <si>
    <t>Incr. AF líquido</t>
  </si>
  <si>
    <t>Incr. Dívida de longo prazo</t>
  </si>
  <si>
    <t>Payout</t>
  </si>
  <si>
    <t>Caixa mínimo</t>
  </si>
  <si>
    <t>Outros passivos (% das vendas)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</si>
</sst>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2">
    <font>
      <sz val="9"/>
      <name val="Geneva"/>
    </font>
    <font>
      <b/>
      <sz val="9"/>
      <name val="Geneva"/>
    </font>
    <font>
      <i/>
      <sz val="9"/>
      <name val="Geneva"/>
    </font>
    <font>
      <b/>
      <i/>
      <sz val="9"/>
      <name val="Geneva"/>
    </font>
    <font>
      <sz val="10"/>
      <name val="Geneva"/>
    </font>
    <font>
      <sz val="8"/>
      <name val="Geneva"/>
    </font>
    <font>
      <b/>
      <sz val="10"/>
      <name val="Geneva"/>
    </font>
    <font>
      <sz val="10"/>
      <name val="Arial"/>
      <family val="2"/>
    </font>
    <font>
      <b/>
      <i/>
      <sz val="10"/>
      <name val="Geneva"/>
    </font>
    <font>
      <i/>
      <sz val="10"/>
      <name val="Geneva"/>
    </font>
    <font>
      <sz val="9"/>
      <name val="Geneva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1"/>
      <color indexed="8"/>
      <name val="Agfa Rotis Serif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</cellStyleXfs>
  <cellXfs count="247">
    <xf numFmtId="0" fontId="0" fillId="0" borderId="0" xfId="0"/>
    <xf numFmtId="9" fontId="2" fillId="0" borderId="0" xfId="1" applyFont="1" applyBorder="1"/>
    <xf numFmtId="0" fontId="9" fillId="0" borderId="0" xfId="0" applyFont="1" applyBorder="1"/>
    <xf numFmtId="0" fontId="6" fillId="2" borderId="0" xfId="0" applyFont="1" applyFill="1" applyAlignment="1">
      <alignment horizontal="left" indent="1"/>
    </xf>
    <xf numFmtId="9" fontId="11" fillId="0" borderId="0" xfId="1" applyFont="1" applyBorder="1"/>
    <xf numFmtId="0" fontId="11" fillId="0" borderId="0" xfId="0" applyFont="1" applyBorder="1"/>
    <xf numFmtId="0" fontId="13" fillId="0" borderId="0" xfId="0" applyFont="1"/>
    <xf numFmtId="0" fontId="12" fillId="0" borderId="0" xfId="0" applyFont="1"/>
    <xf numFmtId="0" fontId="13" fillId="0" borderId="1" xfId="0" applyFont="1" applyBorder="1"/>
    <xf numFmtId="0" fontId="13" fillId="0" borderId="2" xfId="0" applyFont="1" applyBorder="1" applyAlignment="1">
      <alignment horizontal="left" indent="1"/>
    </xf>
    <xf numFmtId="3" fontId="13" fillId="0" borderId="3" xfId="0" applyNumberFormat="1" applyFont="1" applyBorder="1" applyAlignment="1">
      <alignment horizontal="right" indent="1"/>
    </xf>
    <xf numFmtId="3" fontId="13" fillId="0" borderId="2" xfId="0" applyNumberFormat="1" applyFont="1" applyBorder="1" applyAlignment="1">
      <alignment horizontal="right" indent="1"/>
    </xf>
    <xf numFmtId="3" fontId="13" fillId="0" borderId="0" xfId="0" applyNumberFormat="1" applyFont="1" applyBorder="1" applyAlignment="1">
      <alignment horizontal="right" indent="1"/>
    </xf>
    <xf numFmtId="0" fontId="13" fillId="0" borderId="0" xfId="0" applyFont="1" applyBorder="1"/>
    <xf numFmtId="0" fontId="13" fillId="0" borderId="4" xfId="0" applyFont="1" applyBorder="1" applyAlignment="1">
      <alignment horizontal="left" indent="1"/>
    </xf>
    <xf numFmtId="3" fontId="13" fillId="0" borderId="4" xfId="0" applyNumberFormat="1" applyFont="1" applyBorder="1" applyAlignment="1">
      <alignment horizontal="right" indent="1"/>
    </xf>
    <xf numFmtId="0" fontId="13" fillId="0" borderId="5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13" fillId="0" borderId="6" xfId="0" applyFont="1" applyBorder="1" applyAlignment="1">
      <alignment horizontal="left" indent="1"/>
    </xf>
    <xf numFmtId="0" fontId="13" fillId="0" borderId="3" xfId="0" applyFont="1" applyBorder="1" applyAlignment="1">
      <alignment horizontal="left" indent="1"/>
    </xf>
    <xf numFmtId="9" fontId="11" fillId="0" borderId="0" xfId="0" applyNumberFormat="1" applyFont="1" applyAlignment="1">
      <alignment horizontal="left" indent="1"/>
    </xf>
    <xf numFmtId="0" fontId="13" fillId="0" borderId="0" xfId="0" applyFont="1" applyBorder="1" applyAlignment="1">
      <alignment horizontal="right" indent="1"/>
    </xf>
    <xf numFmtId="3" fontId="13" fillId="0" borderId="7" xfId="0" applyNumberFormat="1" applyFont="1" applyBorder="1" applyAlignment="1">
      <alignment horizontal="right" indent="1"/>
    </xf>
    <xf numFmtId="0" fontId="13" fillId="0" borderId="7" xfId="0" applyFon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12" fillId="0" borderId="5" xfId="0" applyFont="1" applyBorder="1" applyAlignment="1">
      <alignment horizontal="left" indent="1"/>
    </xf>
    <xf numFmtId="1" fontId="11" fillId="0" borderId="0" xfId="0" applyNumberFormat="1" applyFont="1" applyBorder="1" applyAlignment="1">
      <alignment horizontal="right" indent="1"/>
    </xf>
    <xf numFmtId="3" fontId="11" fillId="0" borderId="0" xfId="0" applyNumberFormat="1" applyFont="1" applyBorder="1" applyAlignment="1">
      <alignment horizontal="right" indent="1"/>
    </xf>
    <xf numFmtId="3" fontId="11" fillId="0" borderId="1" xfId="0" applyNumberFormat="1" applyFont="1" applyBorder="1" applyAlignment="1">
      <alignment horizontal="right" indent="1"/>
    </xf>
    <xf numFmtId="0" fontId="13" fillId="0" borderId="0" xfId="0" applyFont="1" applyAlignment="1">
      <alignment horizontal="left" indent="1"/>
    </xf>
    <xf numFmtId="9" fontId="13" fillId="0" borderId="0" xfId="0" applyNumberFormat="1" applyFont="1" applyAlignment="1">
      <alignment horizontal="right" indent="1"/>
    </xf>
    <xf numFmtId="0" fontId="12" fillId="0" borderId="0" xfId="0" applyFont="1" applyAlignment="1">
      <alignment horizontal="left" indent="1"/>
    </xf>
    <xf numFmtId="3" fontId="13" fillId="0" borderId="0" xfId="0" applyNumberFormat="1" applyFont="1" applyAlignment="1">
      <alignment horizontal="right" indent="1"/>
    </xf>
    <xf numFmtId="16" fontId="12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 indent="1"/>
    </xf>
    <xf numFmtId="9" fontId="12" fillId="0" borderId="0" xfId="0" applyNumberFormat="1" applyFont="1" applyAlignment="1">
      <alignment horizontal="right" indent="1"/>
    </xf>
    <xf numFmtId="9" fontId="12" fillId="0" borderId="0" xfId="1" applyFont="1" applyAlignment="1">
      <alignment horizontal="right" indent="1"/>
    </xf>
    <xf numFmtId="1" fontId="12" fillId="0" borderId="0" xfId="1" applyNumberFormat="1" applyFont="1" applyAlignment="1">
      <alignment horizontal="right" indent="1"/>
    </xf>
    <xf numFmtId="9" fontId="13" fillId="0" borderId="0" xfId="1" applyFont="1" applyAlignment="1">
      <alignment horizontal="right" indent="1"/>
    </xf>
    <xf numFmtId="4" fontId="13" fillId="0" borderId="0" xfId="2" applyFont="1" applyAlignment="1">
      <alignment horizontal="right" indent="1"/>
    </xf>
    <xf numFmtId="0" fontId="12" fillId="0" borderId="0" xfId="0" applyFont="1" applyAlignment="1">
      <alignment horizontal="right" indent="1"/>
    </xf>
    <xf numFmtId="1" fontId="13" fillId="0" borderId="0" xfId="0" applyNumberFormat="1" applyFont="1" applyAlignment="1">
      <alignment horizontal="right" indent="1"/>
    </xf>
    <xf numFmtId="1" fontId="13" fillId="0" borderId="0" xfId="0" applyNumberFormat="1" applyFont="1" applyBorder="1" applyAlignment="1">
      <alignment horizontal="right" indent="1"/>
    </xf>
    <xf numFmtId="0" fontId="15" fillId="2" borderId="0" xfId="0" applyFont="1" applyFill="1" applyAlignment="1">
      <alignment horizontal="left" indent="1"/>
    </xf>
    <xf numFmtId="0" fontId="12" fillId="0" borderId="0" xfId="0" applyFont="1" applyBorder="1"/>
    <xf numFmtId="0" fontId="13" fillId="0" borderId="5" xfId="0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3" fontId="13" fillId="0" borderId="5" xfId="0" applyNumberFormat="1" applyFont="1" applyBorder="1" applyAlignment="1">
      <alignment horizontal="right" indent="1"/>
    </xf>
    <xf numFmtId="0" fontId="13" fillId="0" borderId="5" xfId="0" applyFont="1" applyBorder="1"/>
    <xf numFmtId="3" fontId="13" fillId="0" borderId="0" xfId="0" applyNumberFormat="1" applyFont="1"/>
    <xf numFmtId="0" fontId="16" fillId="2" borderId="8" xfId="0" applyFont="1" applyFill="1" applyBorder="1" applyAlignment="1">
      <alignment horizontal="left" indent="1"/>
    </xf>
    <xf numFmtId="9" fontId="16" fillId="2" borderId="8" xfId="0" applyNumberFormat="1" applyFont="1" applyFill="1" applyBorder="1" applyAlignment="1">
      <alignment horizontal="right" indent="1"/>
    </xf>
    <xf numFmtId="0" fontId="11" fillId="0" borderId="0" xfId="0" applyFont="1" applyAlignment="1">
      <alignment horizontal="right" indent="1"/>
    </xf>
    <xf numFmtId="0" fontId="11" fillId="0" borderId="0" xfId="0" applyFont="1"/>
    <xf numFmtId="9" fontId="11" fillId="0" borderId="0" xfId="0" applyNumberFormat="1" applyFont="1" applyAlignment="1">
      <alignment horizontal="right" indent="1"/>
    </xf>
    <xf numFmtId="9" fontId="11" fillId="0" borderId="0" xfId="1" applyFont="1" applyAlignment="1">
      <alignment horizontal="right" indent="1"/>
    </xf>
    <xf numFmtId="0" fontId="11" fillId="0" borderId="0" xfId="0" applyFont="1" applyAlignment="1">
      <alignment horizontal="left" indent="4"/>
    </xf>
    <xf numFmtId="164" fontId="11" fillId="0" borderId="0" xfId="0" applyNumberFormat="1" applyFont="1" applyAlignment="1">
      <alignment horizontal="right" indent="1"/>
    </xf>
    <xf numFmtId="3" fontId="11" fillId="0" borderId="0" xfId="1" applyNumberFormat="1" applyFont="1" applyAlignment="1">
      <alignment horizontal="right" indent="1"/>
    </xf>
    <xf numFmtId="165" fontId="11" fillId="0" borderId="0" xfId="1" applyNumberFormat="1" applyFont="1" applyAlignment="1">
      <alignment horizontal="right" indent="1"/>
    </xf>
    <xf numFmtId="3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3" fontId="12" fillId="0" borderId="0" xfId="0" applyNumberFormat="1" applyFont="1" applyAlignment="1">
      <alignment horizontal="right" indent="1"/>
    </xf>
    <xf numFmtId="0" fontId="13" fillId="0" borderId="0" xfId="0" quotePrefix="1" applyFont="1"/>
    <xf numFmtId="0" fontId="11" fillId="0" borderId="0" xfId="0" applyFont="1" applyBorder="1" applyAlignment="1">
      <alignment horizontal="left" indent="1"/>
    </xf>
    <xf numFmtId="0" fontId="14" fillId="2" borderId="8" xfId="0" applyFont="1" applyFill="1" applyBorder="1" applyAlignment="1">
      <alignment horizontal="left" indent="1"/>
    </xf>
    <xf numFmtId="3" fontId="11" fillId="2" borderId="8" xfId="0" applyNumberFormat="1" applyFont="1" applyFill="1" applyBorder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 indent="1"/>
    </xf>
    <xf numFmtId="4" fontId="12" fillId="0" borderId="0" xfId="2" applyFont="1" applyAlignment="1">
      <alignment horizontal="right" indent="1"/>
    </xf>
    <xf numFmtId="0" fontId="7" fillId="2" borderId="8" xfId="0" applyFont="1" applyFill="1" applyBorder="1" applyAlignment="1">
      <alignment horizontal="left" indent="2"/>
    </xf>
    <xf numFmtId="1" fontId="12" fillId="2" borderId="8" xfId="0" applyNumberFormat="1" applyFont="1" applyFill="1" applyBorder="1" applyAlignment="1">
      <alignment horizontal="right" indent="1"/>
    </xf>
    <xf numFmtId="9" fontId="11" fillId="0" borderId="0" xfId="1" applyFont="1" applyFill="1" applyBorder="1"/>
    <xf numFmtId="0" fontId="14" fillId="2" borderId="8" xfId="0" applyFont="1" applyFill="1" applyBorder="1" applyAlignment="1">
      <alignment horizontal="center"/>
    </xf>
    <xf numFmtId="1" fontId="16" fillId="2" borderId="8" xfId="0" applyNumberFormat="1" applyFont="1" applyFill="1" applyBorder="1" applyAlignment="1">
      <alignment horizontal="right" indent="1"/>
    </xf>
    <xf numFmtId="1" fontId="14" fillId="2" borderId="8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indent="2"/>
    </xf>
    <xf numFmtId="0" fontId="0" fillId="0" borderId="2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5" xfId="0" applyFont="1" applyBorder="1" applyAlignment="1">
      <alignment horizontal="left" indent="3"/>
    </xf>
    <xf numFmtId="0" fontId="0" fillId="0" borderId="0" xfId="0" applyFont="1" applyBorder="1" applyAlignment="1">
      <alignment horizontal="left" indent="3"/>
    </xf>
    <xf numFmtId="0" fontId="0" fillId="0" borderId="1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9" fontId="8" fillId="2" borderId="8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left" indent="1"/>
    </xf>
    <xf numFmtId="9" fontId="2" fillId="0" borderId="0" xfId="0" applyNumberFormat="1" applyFont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8" fillId="2" borderId="8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right"/>
    </xf>
    <xf numFmtId="164" fontId="13" fillId="0" borderId="0" xfId="1" applyNumberFormat="1" applyFont="1"/>
    <xf numFmtId="165" fontId="13" fillId="0" borderId="0" xfId="0" applyNumberFormat="1" applyFont="1" applyBorder="1" applyAlignment="1">
      <alignment horizontal="center"/>
    </xf>
    <xf numFmtId="164" fontId="13" fillId="0" borderId="0" xfId="1" applyNumberFormat="1" applyFont="1" applyAlignment="1">
      <alignment horizontal="center"/>
    </xf>
    <xf numFmtId="9" fontId="13" fillId="0" borderId="0" xfId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" fontId="13" fillId="0" borderId="0" xfId="0" applyNumberFormat="1" applyFont="1"/>
    <xf numFmtId="0" fontId="0" fillId="0" borderId="3" xfId="0" applyBorder="1" applyAlignment="1">
      <alignment horizontal="left" indent="1"/>
    </xf>
    <xf numFmtId="0" fontId="20" fillId="0" borderId="0" xfId="0" applyFont="1" applyAlignment="1">
      <alignment horizontal="justify"/>
    </xf>
    <xf numFmtId="0" fontId="0" fillId="0" borderId="0" xfId="0" applyFont="1" applyAlignment="1">
      <alignment horizontal="right" indent="1"/>
    </xf>
    <xf numFmtId="16" fontId="0" fillId="0" borderId="0" xfId="0" applyNumberFormat="1" applyFont="1" applyBorder="1" applyAlignment="1">
      <alignment horizontal="right" indent="1"/>
    </xf>
    <xf numFmtId="0" fontId="0" fillId="0" borderId="0" xfId="0" applyFont="1"/>
    <xf numFmtId="0" fontId="1" fillId="0" borderId="0" xfId="0" applyFont="1"/>
    <xf numFmtId="3" fontId="0" fillId="0" borderId="2" xfId="0" applyNumberFormat="1" applyFont="1" applyBorder="1" applyAlignment="1">
      <alignment horizontal="right" indent="1"/>
    </xf>
    <xf numFmtId="3" fontId="0" fillId="0" borderId="4" xfId="0" applyNumberFormat="1" applyFont="1" applyBorder="1" applyAlignment="1">
      <alignment horizontal="right" indent="1"/>
    </xf>
    <xf numFmtId="0" fontId="0" fillId="0" borderId="0" xfId="0" applyFont="1" applyBorder="1"/>
    <xf numFmtId="0" fontId="0" fillId="0" borderId="1" xfId="0" applyFont="1" applyBorder="1"/>
    <xf numFmtId="3" fontId="0" fillId="0" borderId="3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left" indent="1"/>
    </xf>
    <xf numFmtId="0" fontId="2" fillId="0" borderId="0" xfId="0" applyFont="1" applyAlignment="1">
      <alignment horizontal="right" indent="1"/>
    </xf>
    <xf numFmtId="9" fontId="2" fillId="0" borderId="0" xfId="0" applyNumberFormat="1" applyFont="1" applyAlignment="1">
      <alignment horizontal="right" indent="1"/>
    </xf>
    <xf numFmtId="9" fontId="2" fillId="0" borderId="0" xfId="1" applyFont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3" fontId="2" fillId="0" borderId="0" xfId="1" applyNumberFormat="1" applyFont="1" applyAlignment="1">
      <alignment horizontal="right" indent="1"/>
    </xf>
    <xf numFmtId="165" fontId="2" fillId="0" borderId="0" xfId="1" applyNumberFormat="1" applyFont="1" applyAlignment="1">
      <alignment horizontal="right" indent="1"/>
    </xf>
    <xf numFmtId="0" fontId="0" fillId="0" borderId="0" xfId="0" applyFont="1" applyBorder="1" applyAlignment="1">
      <alignment horizontal="right" indent="1"/>
    </xf>
    <xf numFmtId="3" fontId="2" fillId="0" borderId="0" xfId="0" applyNumberFormat="1" applyFont="1" applyAlignment="1">
      <alignment horizontal="right"/>
    </xf>
    <xf numFmtId="3" fontId="0" fillId="0" borderId="7" xfId="0" applyNumberFormat="1" applyFont="1" applyBorder="1" applyAlignment="1">
      <alignment horizontal="right" indent="1"/>
    </xf>
    <xf numFmtId="0" fontId="1" fillId="0" borderId="0" xfId="0" applyFont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0" fontId="0" fillId="0" borderId="0" xfId="0" quotePrefix="1" applyFont="1"/>
    <xf numFmtId="3" fontId="2" fillId="0" borderId="0" xfId="0" applyNumberFormat="1" applyFont="1" applyBorder="1" applyAlignment="1">
      <alignment horizontal="right" indent="1"/>
    </xf>
    <xf numFmtId="3" fontId="2" fillId="0" borderId="1" xfId="0" applyNumberFormat="1" applyFont="1" applyBorder="1" applyAlignment="1">
      <alignment horizontal="right" indent="1"/>
    </xf>
    <xf numFmtId="3" fontId="2" fillId="2" borderId="8" xfId="0" applyNumberFormat="1" applyFont="1" applyFill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9" fontId="0" fillId="0" borderId="0" xfId="0" applyNumberFormat="1" applyFont="1" applyAlignment="1">
      <alignment horizontal="right" indent="1"/>
    </xf>
    <xf numFmtId="16" fontId="1" fillId="0" borderId="0" xfId="0" applyNumberFormat="1" applyFont="1" applyAlignment="1">
      <alignment horizontal="right" indent="1"/>
    </xf>
    <xf numFmtId="9" fontId="1" fillId="0" borderId="0" xfId="0" applyNumberFormat="1" applyFont="1" applyAlignment="1">
      <alignment horizontal="right" indent="1"/>
    </xf>
    <xf numFmtId="9" fontId="1" fillId="0" borderId="0" xfId="1" applyFont="1" applyAlignment="1">
      <alignment horizontal="right" indent="1"/>
    </xf>
    <xf numFmtId="1" fontId="1" fillId="0" borderId="0" xfId="1" applyNumberFormat="1" applyFont="1" applyAlignment="1">
      <alignment horizontal="right" indent="1"/>
    </xf>
    <xf numFmtId="9" fontId="0" fillId="0" borderId="0" xfId="1" applyFont="1" applyAlignment="1">
      <alignment horizontal="right" indent="1"/>
    </xf>
    <xf numFmtId="4" fontId="1" fillId="0" borderId="0" xfId="2" applyFont="1" applyAlignment="1">
      <alignment horizontal="right" indent="1"/>
    </xf>
    <xf numFmtId="4" fontId="0" fillId="0" borderId="0" xfId="2" applyFont="1" applyAlignment="1">
      <alignment horizontal="right" indent="1"/>
    </xf>
    <xf numFmtId="0" fontId="1" fillId="0" borderId="5" xfId="0" applyFont="1" applyBorder="1" applyAlignment="1">
      <alignment horizontal="left" indent="1"/>
    </xf>
    <xf numFmtId="1" fontId="0" fillId="0" borderId="0" xfId="0" applyNumberFormat="1" applyFont="1" applyAlignment="1">
      <alignment horizontal="right" indent="1"/>
    </xf>
    <xf numFmtId="1" fontId="0" fillId="0" borderId="0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left" indent="2"/>
    </xf>
    <xf numFmtId="3" fontId="0" fillId="0" borderId="0" xfId="0" applyNumberFormat="1" applyFont="1"/>
    <xf numFmtId="0" fontId="0" fillId="0" borderId="5" xfId="0" applyBorder="1" applyAlignment="1">
      <alignment horizontal="left" indent="1"/>
    </xf>
    <xf numFmtId="0" fontId="16" fillId="2" borderId="0" xfId="0" applyFont="1" applyFill="1" applyBorder="1" applyAlignment="1">
      <alignment horizontal="left" indent="1"/>
    </xf>
    <xf numFmtId="9" fontId="11" fillId="0" borderId="0" xfId="0" applyNumberFormat="1" applyFont="1" applyBorder="1" applyAlignment="1">
      <alignment horizontal="left" indent="1"/>
    </xf>
    <xf numFmtId="3" fontId="0" fillId="0" borderId="9" xfId="0" applyNumberFormat="1" applyFont="1" applyBorder="1" applyAlignment="1">
      <alignment horizontal="right" indent="1"/>
    </xf>
    <xf numFmtId="3" fontId="0" fillId="0" borderId="1" xfId="0" applyNumberFormat="1" applyFont="1" applyBorder="1" applyAlignment="1">
      <alignment horizontal="right" indent="1"/>
    </xf>
    <xf numFmtId="0" fontId="0" fillId="0" borderId="6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10" xfId="0" applyFont="1" applyBorder="1" applyAlignment="1">
      <alignment horizontal="left" indent="1"/>
    </xf>
    <xf numFmtId="0" fontId="2" fillId="2" borderId="8" xfId="0" applyFont="1" applyFill="1" applyBorder="1" applyAlignment="1">
      <alignment horizontal="right" indent="1"/>
    </xf>
    <xf numFmtId="1" fontId="1" fillId="2" borderId="0" xfId="0" applyNumberFormat="1" applyFont="1" applyFill="1" applyBorder="1" applyAlignment="1"/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2" borderId="2" xfId="0" applyFont="1" applyFill="1" applyBorder="1" applyAlignment="1">
      <alignment horizontal="right" indent="1"/>
    </xf>
    <xf numFmtId="1" fontId="12" fillId="2" borderId="4" xfId="0" applyNumberFormat="1" applyFont="1" applyFill="1" applyBorder="1" applyAlignment="1">
      <alignment horizontal="right" indent="1"/>
    </xf>
    <xf numFmtId="16" fontId="12" fillId="2" borderId="2" xfId="0" applyNumberFormat="1" applyFont="1" applyFill="1" applyBorder="1" applyAlignment="1">
      <alignment horizontal="right" indent="1"/>
    </xf>
    <xf numFmtId="1" fontId="12" fillId="2" borderId="11" xfId="0" applyNumberFormat="1" applyFont="1" applyFill="1" applyBorder="1" applyAlignment="1">
      <alignment horizontal="right" indent="1"/>
    </xf>
    <xf numFmtId="164" fontId="2" fillId="0" borderId="0" xfId="1" applyNumberFormat="1" applyFont="1" applyAlignment="1">
      <alignment horizontal="right" indent="1"/>
    </xf>
    <xf numFmtId="9" fontId="2" fillId="0" borderId="0" xfId="1" applyNumberFormat="1" applyFont="1" applyAlignment="1">
      <alignment horizontal="right" indent="1"/>
    </xf>
    <xf numFmtId="166" fontId="1" fillId="0" borderId="0" xfId="0" applyNumberFormat="1" applyFont="1" applyAlignment="1">
      <alignment horizontal="right" indent="1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right"/>
    </xf>
    <xf numFmtId="0" fontId="2" fillId="2" borderId="12" xfId="0" applyFont="1" applyFill="1" applyBorder="1"/>
    <xf numFmtId="1" fontId="6" fillId="2" borderId="13" xfId="0" applyNumberFormat="1" applyFont="1" applyFill="1" applyBorder="1" applyAlignment="1">
      <alignment horizontal="right" indent="1"/>
    </xf>
    <xf numFmtId="1" fontId="6" fillId="2" borderId="7" xfId="0" applyNumberFormat="1" applyFont="1" applyFill="1" applyBorder="1" applyAlignment="1">
      <alignment horizontal="right" indent="1"/>
    </xf>
    <xf numFmtId="0" fontId="4" fillId="2" borderId="14" xfId="0" applyFont="1" applyFill="1" applyBorder="1"/>
    <xf numFmtId="0" fontId="8" fillId="2" borderId="8" xfId="0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 indent="1"/>
    </xf>
    <xf numFmtId="0" fontId="8" fillId="2" borderId="12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 indent="1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0" xfId="1" applyNumberFormat="1" applyFont="1" applyBorder="1" applyAlignment="1">
      <alignment horizontal="right" indent="1"/>
    </xf>
    <xf numFmtId="3" fontId="2" fillId="0" borderId="1" xfId="1" applyNumberFormat="1" applyFont="1" applyBorder="1" applyAlignment="1">
      <alignment horizontal="right" indent="1"/>
    </xf>
    <xf numFmtId="0" fontId="0" fillId="2" borderId="0" xfId="0" applyFill="1" applyAlignment="1">
      <alignment horizontal="left" indent="2"/>
    </xf>
    <xf numFmtId="0" fontId="0" fillId="0" borderId="2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Font="1" applyBorder="1" applyAlignment="1">
      <alignment horizontal="left" indent="2"/>
    </xf>
    <xf numFmtId="0" fontId="0" fillId="0" borderId="6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3" fontId="2" fillId="3" borderId="0" xfId="1" applyNumberFormat="1" applyFont="1" applyFill="1" applyBorder="1" applyAlignment="1">
      <alignment horizontal="right" indent="1"/>
    </xf>
    <xf numFmtId="3" fontId="2" fillId="3" borderId="1" xfId="1" applyNumberFormat="1" applyFont="1" applyFill="1" applyBorder="1" applyAlignment="1">
      <alignment horizontal="right" indent="1"/>
    </xf>
    <xf numFmtId="3" fontId="2" fillId="3" borderId="0" xfId="0" applyNumberFormat="1" applyFont="1" applyFill="1" applyBorder="1" applyAlignment="1">
      <alignment horizontal="right" indent="1"/>
    </xf>
    <xf numFmtId="9" fontId="2" fillId="3" borderId="0" xfId="1" applyFont="1" applyFill="1" applyAlignment="1">
      <alignment horizontal="right" indent="1"/>
    </xf>
    <xf numFmtId="164" fontId="2" fillId="3" borderId="0" xfId="1" applyNumberFormat="1" applyFont="1" applyFill="1" applyAlignment="1">
      <alignment horizontal="right" indent="1"/>
    </xf>
    <xf numFmtId="3" fontId="2" fillId="3" borderId="0" xfId="0" applyNumberFormat="1" applyFont="1" applyFill="1" applyAlignment="1">
      <alignment horizontal="right" indent="1"/>
    </xf>
    <xf numFmtId="0" fontId="19" fillId="0" borderId="0" xfId="0" applyFont="1" applyBorder="1" applyAlignment="1">
      <alignment horizontal="left" indent="3"/>
    </xf>
    <xf numFmtId="3" fontId="2" fillId="3" borderId="0" xfId="0" applyNumberFormat="1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 indent="1"/>
    </xf>
    <xf numFmtId="164" fontId="2" fillId="3" borderId="0" xfId="0" applyNumberFormat="1" applyFont="1" applyFill="1" applyAlignment="1">
      <alignment horizontal="right" indent="1"/>
    </xf>
    <xf numFmtId="165" fontId="2" fillId="3" borderId="0" xfId="0" applyNumberFormat="1" applyFont="1" applyFill="1" applyAlignment="1">
      <alignment horizontal="right" indent="1"/>
    </xf>
    <xf numFmtId="165" fontId="2" fillId="3" borderId="0" xfId="0" applyNumberFormat="1" applyFont="1" applyFill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1" fontId="6" fillId="2" borderId="15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0" fontId="2" fillId="0" borderId="0" xfId="0" applyFont="1" applyFill="1" applyBorder="1"/>
    <xf numFmtId="9" fontId="2" fillId="3" borderId="0" xfId="1" applyNumberFormat="1" applyFont="1" applyFill="1" applyAlignment="1">
      <alignment horizontal="right" indent="1"/>
    </xf>
    <xf numFmtId="9" fontId="2" fillId="3" borderId="0" xfId="0" applyNumberFormat="1" applyFont="1" applyFill="1" applyAlignment="1">
      <alignment horizontal="right" indent="1"/>
    </xf>
    <xf numFmtId="3" fontId="2" fillId="3" borderId="0" xfId="1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0" fontId="0" fillId="0" borderId="5" xfId="0" applyBorder="1" applyAlignment="1">
      <alignment horizontal="left" indent="3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0" fontId="2" fillId="4" borderId="8" xfId="0" applyFont="1" applyFill="1" applyBorder="1"/>
    <xf numFmtId="0" fontId="3" fillId="4" borderId="8" xfId="0" applyFont="1" applyFill="1" applyBorder="1" applyAlignment="1">
      <alignment horizontal="right"/>
    </xf>
    <xf numFmtId="9" fontId="3" fillId="4" borderId="0" xfId="0" applyNumberFormat="1" applyFont="1" applyFill="1" applyAlignment="1">
      <alignment horizontal="right" indent="1"/>
    </xf>
    <xf numFmtId="164" fontId="3" fillId="4" borderId="0" xfId="0" applyNumberFormat="1" applyFont="1" applyFill="1" applyAlignment="1">
      <alignment horizontal="right" indent="1"/>
    </xf>
    <xf numFmtId="9" fontId="3" fillId="4" borderId="0" xfId="0" applyNumberFormat="1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quotePrefix="1" applyNumberFormat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489585</xdr:colOff>
      <xdr:row>9</xdr:row>
      <xdr:rowOff>125730</xdr:rowOff>
    </xdr:from>
    <xdr:to>
      <xdr:col>13</xdr:col>
      <xdr:colOff>499110</xdr:colOff>
      <xdr:row>17</xdr:row>
      <xdr:rowOff>161957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D367E8A-4A49-41FF-9D19-880131E8465B}"/>
            </a:ext>
          </a:extLst>
        </xdr:cNvPr>
        <xdr:cNvSpPr txBox="1"/>
      </xdr:nvSpPr>
      <xdr:spPr>
        <a:xfrm>
          <a:off x="7943850" y="1781175"/>
          <a:ext cx="23526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FILL IN THE CELLS IN YELLOW</a:t>
          </a:r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5</xdr:row>
      <xdr:rowOff>38100</xdr:rowOff>
    </xdr:from>
    <xdr:to>
      <xdr:col>14</xdr:col>
      <xdr:colOff>118029</xdr:colOff>
      <xdr:row>14</xdr:row>
      <xdr:rowOff>114300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10A51AF-24E5-4DB2-B355-107573BABF4B}"/>
            </a:ext>
          </a:extLst>
        </xdr:cNvPr>
        <xdr:cNvSpPr txBox="1"/>
      </xdr:nvSpPr>
      <xdr:spPr>
        <a:xfrm>
          <a:off x="7267575" y="1000125"/>
          <a:ext cx="340995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800"/>
            <a:t>RELLENAR LAS CELDAS EN AMARILLO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5</xdr:row>
      <xdr:rowOff>38100</xdr:rowOff>
    </xdr:from>
    <xdr:to>
      <xdr:col>14</xdr:col>
      <xdr:colOff>118029</xdr:colOff>
      <xdr:row>14</xdr:row>
      <xdr:rowOff>114300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2C39017-B506-4D59-94B9-1AD0D167B50B}"/>
            </a:ext>
          </a:extLst>
        </xdr:cNvPr>
        <xdr:cNvSpPr txBox="1"/>
      </xdr:nvSpPr>
      <xdr:spPr>
        <a:xfrm>
          <a:off x="6625590" y="982980"/>
          <a:ext cx="3107053" cy="1584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800"/>
            <a:t>PREENCHER AS CÉLULAS EM AMARELO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7"/>
  <sheetViews>
    <sheetView showGridLines="0" view="pageBreakPreview" topLeftCell="A46" zoomScaleNormal="75" workbookViewId="0">
      <selection activeCell="A28" sqref="A28:H75"/>
    </sheetView>
  </sheetViews>
  <sheetFormatPr defaultColWidth="11.3984375" defaultRowHeight="11.5"/>
  <cols>
    <col min="1" max="1" width="23.3984375" style="29" customWidth="1"/>
    <col min="2" max="3" width="10.59765625" style="34" customWidth="1"/>
    <col min="4" max="4" width="10.69921875" style="34" customWidth="1"/>
    <col min="5" max="5" width="4.09765625" style="6" customWidth="1"/>
    <col min="6" max="6" width="6.69921875" style="6" customWidth="1"/>
    <col min="7" max="7" width="4.19921875" style="6" customWidth="1"/>
    <col min="8" max="8" width="14.09765625" style="6" customWidth="1"/>
    <col min="9" max="10" width="11.3984375" style="6"/>
    <col min="11" max="11" width="11.3984375" style="61"/>
    <col min="12" max="16384" width="11.3984375" style="6"/>
  </cols>
  <sheetData>
    <row r="1" spans="1:28" ht="15.65" customHeight="1">
      <c r="A1" s="43" t="s">
        <v>32</v>
      </c>
      <c r="B1" s="161" t="s">
        <v>8</v>
      </c>
      <c r="C1" s="163" t="s">
        <v>185</v>
      </c>
      <c r="D1" s="163" t="s">
        <v>185</v>
      </c>
      <c r="J1" s="7"/>
    </row>
    <row r="2" spans="1:28" ht="17.25" customHeight="1" thickBot="1">
      <c r="A2" s="74" t="s">
        <v>156</v>
      </c>
      <c r="B2" s="164">
        <v>2011</v>
      </c>
      <c r="C2" s="164">
        <f>B2+1</f>
        <v>2012</v>
      </c>
      <c r="D2" s="164">
        <f>C2+1</f>
        <v>2013</v>
      </c>
      <c r="F2" s="79" t="s">
        <v>161</v>
      </c>
      <c r="G2" s="75"/>
      <c r="H2" s="75"/>
      <c r="J2" s="7"/>
      <c r="K2" s="61" t="s">
        <v>174</v>
      </c>
    </row>
    <row r="3" spans="1:28" ht="13.5" customHeight="1">
      <c r="A3" s="19" t="s">
        <v>10</v>
      </c>
      <c r="B3" s="10">
        <v>30000</v>
      </c>
      <c r="C3" s="10">
        <v>36000</v>
      </c>
      <c r="D3" s="10">
        <f>C3*(1+D79)</f>
        <v>39600</v>
      </c>
      <c r="F3" s="4" t="s">
        <v>42</v>
      </c>
      <c r="G3" s="76"/>
      <c r="H3" s="76"/>
      <c r="K3" s="101">
        <f>C3/365</f>
        <v>98.630136986301366</v>
      </c>
    </row>
    <row r="4" spans="1:28" s="8" customFormat="1" ht="13.5" customHeight="1">
      <c r="A4" s="14" t="s">
        <v>11</v>
      </c>
      <c r="B4" s="15">
        <v>24600</v>
      </c>
      <c r="C4" s="15">
        <f>C3*C80</f>
        <v>29880</v>
      </c>
      <c r="D4" s="15">
        <f>D3*D80</f>
        <v>33264</v>
      </c>
      <c r="E4" s="13"/>
      <c r="F4" s="4" t="s">
        <v>43</v>
      </c>
      <c r="G4" s="76"/>
      <c r="H4" s="76"/>
      <c r="I4" s="13"/>
      <c r="J4" s="13"/>
      <c r="K4" s="101">
        <f>C4/365</f>
        <v>81.863013698630141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13" customFormat="1" ht="13.5" customHeight="1">
      <c r="A5" s="16" t="s">
        <v>12</v>
      </c>
      <c r="B5" s="11">
        <v>5400</v>
      </c>
      <c r="C5" s="11">
        <f>C3-C4</f>
        <v>6120</v>
      </c>
      <c r="D5" s="11">
        <f>D3-D4</f>
        <v>6336</v>
      </c>
      <c r="F5" s="4"/>
      <c r="G5" s="76"/>
      <c r="H5" s="76"/>
      <c r="J5" s="44"/>
      <c r="K5" s="24"/>
    </row>
    <row r="6" spans="1:28" ht="13.5" customHeight="1">
      <c r="A6" s="45" t="s">
        <v>13</v>
      </c>
      <c r="B6" s="10">
        <v>1800</v>
      </c>
      <c r="C6" s="10">
        <f>B6*(1+C81)</f>
        <v>2160</v>
      </c>
      <c r="D6" s="10">
        <f>C6*(1+D81)</f>
        <v>2376</v>
      </c>
      <c r="E6" s="13"/>
      <c r="F6" s="4" t="s">
        <v>47</v>
      </c>
      <c r="G6" s="76"/>
      <c r="H6" s="76"/>
      <c r="I6" s="13"/>
      <c r="J6" s="13"/>
      <c r="L6" s="13"/>
      <c r="M6" s="13"/>
      <c r="N6" s="13"/>
      <c r="O6" s="13"/>
    </row>
    <row r="7" spans="1:28" ht="13.5" customHeight="1">
      <c r="A7" s="46" t="s">
        <v>14</v>
      </c>
      <c r="B7" s="47">
        <v>470</v>
      </c>
      <c r="C7" s="10">
        <f>B7*(1+C82)</f>
        <v>564</v>
      </c>
      <c r="D7" s="10">
        <f>C7*(1+D82)</f>
        <v>620.40000000000009</v>
      </c>
      <c r="E7" s="48"/>
      <c r="F7" s="4" t="s">
        <v>47</v>
      </c>
      <c r="G7" s="76"/>
      <c r="H7" s="76"/>
      <c r="I7" s="13"/>
      <c r="J7" s="13"/>
      <c r="K7" s="24"/>
    </row>
    <row r="8" spans="1:28" ht="13.5" customHeight="1">
      <c r="A8" s="18" t="s">
        <v>209</v>
      </c>
      <c r="B8" s="15">
        <v>2270</v>
      </c>
      <c r="C8" s="15">
        <f>C6+C7</f>
        <v>2724</v>
      </c>
      <c r="D8" s="15">
        <f>D6+D7</f>
        <v>2996.4</v>
      </c>
      <c r="F8" s="4"/>
      <c r="G8" s="76"/>
      <c r="H8" s="76"/>
      <c r="I8" s="13"/>
      <c r="J8" s="13"/>
      <c r="K8" s="24"/>
    </row>
    <row r="9" spans="1:28" ht="13.5" customHeight="1">
      <c r="A9" s="19" t="s">
        <v>29</v>
      </c>
      <c r="B9" s="10">
        <v>3130</v>
      </c>
      <c r="C9" s="10">
        <f>C5-C8</f>
        <v>3396</v>
      </c>
      <c r="D9" s="10">
        <f>D5-D8</f>
        <v>3339.6</v>
      </c>
      <c r="G9" s="76"/>
      <c r="H9" s="76"/>
    </row>
    <row r="10" spans="1:28" ht="13.5" customHeight="1">
      <c r="A10" s="14" t="s">
        <v>15</v>
      </c>
      <c r="B10" s="15">
        <v>600</v>
      </c>
      <c r="C10" s="15">
        <f>C84*B35</f>
        <v>600</v>
      </c>
      <c r="D10" s="15">
        <f>D84*C35</f>
        <v>600</v>
      </c>
      <c r="F10" s="4" t="s">
        <v>44</v>
      </c>
      <c r="G10" s="76"/>
      <c r="H10" s="76"/>
      <c r="K10" s="102"/>
    </row>
    <row r="11" spans="1:28" ht="13.5" customHeight="1">
      <c r="A11" s="16" t="s">
        <v>16</v>
      </c>
      <c r="B11" s="11">
        <v>2530</v>
      </c>
      <c r="C11" s="12">
        <f>C9-C10</f>
        <v>2796</v>
      </c>
      <c r="D11" s="11">
        <f>D9-D10</f>
        <v>2739.6</v>
      </c>
      <c r="G11" s="76"/>
      <c r="H11" s="76"/>
    </row>
    <row r="12" spans="1:28" ht="13.5" customHeight="1">
      <c r="A12" s="16" t="s">
        <v>210</v>
      </c>
      <c r="B12" s="15">
        <v>526.68842276942621</v>
      </c>
      <c r="C12" s="12">
        <f ca="1">C83*(C43+C41)</f>
        <v>572.57653835477709</v>
      </c>
      <c r="D12" s="15">
        <f ca="1">D83*(D43+D41)</f>
        <v>488.12292747789161</v>
      </c>
      <c r="F12" s="4" t="s">
        <v>46</v>
      </c>
      <c r="G12" s="76"/>
      <c r="H12" s="76"/>
      <c r="I12" s="49"/>
    </row>
    <row r="13" spans="1:28" ht="13.5" customHeight="1">
      <c r="A13" s="9" t="s">
        <v>17</v>
      </c>
      <c r="B13" s="11">
        <v>2003.3115772305737</v>
      </c>
      <c r="C13" s="11">
        <f ca="1">C11-C12</f>
        <v>2223.4234616452231</v>
      </c>
      <c r="D13" s="11">
        <f ca="1">D11-D12</f>
        <v>2251.4770725221083</v>
      </c>
      <c r="F13" s="4" t="s">
        <v>45</v>
      </c>
      <c r="G13" s="76"/>
      <c r="H13" s="76"/>
    </row>
    <row r="14" spans="1:28" ht="13.5" customHeight="1">
      <c r="A14" s="14" t="s">
        <v>33</v>
      </c>
      <c r="B14" s="15">
        <v>600.99347316917203</v>
      </c>
      <c r="C14" s="15">
        <f ca="1">C13*C85</f>
        <v>667.02703849356692</v>
      </c>
      <c r="D14" s="15">
        <f ca="1">D13*D85</f>
        <v>675.44312175663242</v>
      </c>
      <c r="F14" s="4"/>
      <c r="G14" s="76"/>
      <c r="H14" s="76"/>
    </row>
    <row r="15" spans="1:28" ht="13.5" customHeight="1">
      <c r="A15" s="14" t="s">
        <v>18</v>
      </c>
      <c r="B15" s="15">
        <v>1402.3181040614018</v>
      </c>
      <c r="C15" s="15">
        <f ca="1">C13-C14</f>
        <v>1556.3964231516561</v>
      </c>
      <c r="D15" s="15">
        <f ca="1">D13-D14</f>
        <v>1576.0339507654758</v>
      </c>
      <c r="F15" s="76"/>
      <c r="G15" s="76"/>
      <c r="H15" s="76"/>
      <c r="I15" s="49"/>
      <c r="K15" s="102"/>
    </row>
    <row r="16" spans="1:28" ht="13.5" customHeight="1">
      <c r="K16" s="103"/>
    </row>
    <row r="17" spans="1:11" ht="13.5" customHeight="1" thickBot="1">
      <c r="A17" s="50" t="s">
        <v>211</v>
      </c>
      <c r="B17" s="51"/>
      <c r="C17" s="52"/>
      <c r="D17" s="52"/>
      <c r="E17" s="53"/>
      <c r="F17" s="53"/>
      <c r="G17" s="53"/>
      <c r="H17" s="53"/>
      <c r="K17" s="104"/>
    </row>
    <row r="18" spans="1:11" ht="13.5" customHeight="1">
      <c r="A18" s="17" t="s">
        <v>212</v>
      </c>
      <c r="B18" s="54">
        <v>0.5</v>
      </c>
      <c r="C18" s="54">
        <f>C79</f>
        <v>0.2</v>
      </c>
      <c r="D18" s="54">
        <f>D79</f>
        <v>0.1</v>
      </c>
      <c r="E18" s="53"/>
      <c r="F18" s="53"/>
      <c r="G18" s="53"/>
      <c r="H18" s="53"/>
    </row>
    <row r="19" spans="1:11" ht="13.5" customHeight="1">
      <c r="A19" s="17" t="s">
        <v>213</v>
      </c>
      <c r="B19" s="55">
        <f>B5/B3</f>
        <v>0.18</v>
      </c>
      <c r="C19" s="55">
        <f>C5/C3</f>
        <v>0.17</v>
      </c>
      <c r="D19" s="55">
        <f>D5/D3</f>
        <v>0.16</v>
      </c>
      <c r="E19" s="53"/>
      <c r="F19" s="53"/>
      <c r="G19" s="53"/>
      <c r="H19" s="53"/>
    </row>
    <row r="20" spans="1:11" ht="13.5" customHeight="1">
      <c r="A20" s="17" t="s">
        <v>157</v>
      </c>
      <c r="B20" s="55">
        <f>B8/B3</f>
        <v>7.566666666666666E-2</v>
      </c>
      <c r="C20" s="55">
        <f>C8/C3</f>
        <v>7.566666666666666E-2</v>
      </c>
      <c r="D20" s="55">
        <f>D8/D3</f>
        <v>7.5666666666666674E-2</v>
      </c>
      <c r="E20" s="53"/>
      <c r="F20" s="53"/>
      <c r="G20" s="53"/>
      <c r="H20" s="53"/>
    </row>
    <row r="21" spans="1:11" ht="13.5" customHeight="1">
      <c r="A21" s="56" t="s">
        <v>158</v>
      </c>
      <c r="B21" s="55">
        <v>0.64</v>
      </c>
      <c r="C21" s="55">
        <f>C8/B8-1</f>
        <v>0.19999999999999996</v>
      </c>
      <c r="D21" s="55">
        <f>D8/C8-1</f>
        <v>0.10000000000000009</v>
      </c>
      <c r="E21" s="53"/>
      <c r="F21" s="53"/>
      <c r="G21" s="53"/>
      <c r="H21" s="53"/>
    </row>
    <row r="22" spans="1:11" ht="13.5" customHeight="1">
      <c r="A22" s="17" t="s">
        <v>34</v>
      </c>
      <c r="B22" s="55">
        <f>B9/B3</f>
        <v>0.10433333333333333</v>
      </c>
      <c r="C22" s="55">
        <f>C9/C3</f>
        <v>9.4333333333333338E-2</v>
      </c>
      <c r="D22" s="55">
        <f>D9/D3</f>
        <v>8.433333333333333E-2</v>
      </c>
      <c r="E22" s="53"/>
      <c r="F22" s="53"/>
      <c r="G22" s="53"/>
      <c r="H22" s="53"/>
    </row>
    <row r="23" spans="1:11" ht="13.5" customHeight="1">
      <c r="A23" s="20" t="s">
        <v>289</v>
      </c>
      <c r="B23" s="57">
        <f>B15/B3</f>
        <v>4.6743936802046727E-2</v>
      </c>
      <c r="C23" s="57">
        <f ca="1">C15/C3</f>
        <v>4.3233233976434894E-2</v>
      </c>
      <c r="D23" s="57">
        <f ca="1">D15/D3</f>
        <v>3.9798837140542317E-2</v>
      </c>
      <c r="E23" s="53"/>
      <c r="F23" s="53"/>
      <c r="G23" s="53"/>
      <c r="H23" s="53"/>
    </row>
    <row r="24" spans="1:11" ht="13.5" customHeight="1">
      <c r="A24" s="17" t="s">
        <v>290</v>
      </c>
      <c r="B24" s="55">
        <f>B15/B44</f>
        <v>0.29965195605710171</v>
      </c>
      <c r="C24" s="55">
        <f ca="1">C15/C44</f>
        <v>0.25589614030260244</v>
      </c>
      <c r="D24" s="55">
        <f ca="1">D15/D44</f>
        <v>0.20632666309975448</v>
      </c>
      <c r="E24" s="53"/>
      <c r="F24" s="53"/>
      <c r="G24" s="53"/>
      <c r="H24" s="53"/>
    </row>
    <row r="25" spans="1:11" ht="13.5" customHeight="1">
      <c r="A25" s="17" t="s">
        <v>296</v>
      </c>
      <c r="B25" s="55">
        <f ca="1">B11/B54</f>
        <v>0.22292663333529761</v>
      </c>
      <c r="C25" s="55">
        <f ca="1">C11/C54</f>
        <v>0.2092140553062363</v>
      </c>
      <c r="D25" s="55">
        <f ca="1">D11/D54</f>
        <v>0.19435575571510089</v>
      </c>
      <c r="E25" s="53"/>
      <c r="F25" s="53"/>
      <c r="G25" s="53"/>
      <c r="H25" s="53"/>
    </row>
    <row r="26" spans="1:11" ht="13.5" customHeight="1">
      <c r="A26" s="17" t="s">
        <v>216</v>
      </c>
      <c r="B26" s="58">
        <f>B15+B10</f>
        <v>2002.3181040614018</v>
      </c>
      <c r="C26" s="58">
        <f ca="1">C15+C10</f>
        <v>2156.3964231516561</v>
      </c>
      <c r="D26" s="58">
        <f ca="1">D15+D10</f>
        <v>2176.0339507654758</v>
      </c>
      <c r="E26" s="53"/>
      <c r="F26" s="53" t="s">
        <v>246</v>
      </c>
      <c r="G26" s="53"/>
      <c r="H26" s="53"/>
    </row>
    <row r="27" spans="1:11" ht="13.5" customHeight="1">
      <c r="A27" s="17"/>
      <c r="B27" s="59"/>
      <c r="C27" s="59"/>
      <c r="D27" s="59"/>
      <c r="E27" s="53"/>
      <c r="F27" s="53"/>
      <c r="G27" s="53"/>
      <c r="H27" s="53"/>
    </row>
    <row r="28" spans="1:11" ht="13.5" customHeight="1">
      <c r="A28" s="17"/>
      <c r="B28" s="59"/>
      <c r="C28" s="59"/>
      <c r="D28" s="59"/>
      <c r="E28" s="53"/>
      <c r="F28" s="53"/>
      <c r="G28" s="53"/>
      <c r="H28" s="53"/>
    </row>
    <row r="29" spans="1:11" ht="13.5" customHeight="1">
      <c r="A29" s="43" t="s">
        <v>35</v>
      </c>
      <c r="B29" s="161" t="s">
        <v>8</v>
      </c>
      <c r="C29" s="163" t="s">
        <v>185</v>
      </c>
      <c r="D29" s="163" t="s">
        <v>185</v>
      </c>
    </row>
    <row r="30" spans="1:11" ht="13.5" customHeight="1" thickBot="1">
      <c r="A30" s="74" t="str">
        <f>A2</f>
        <v>(thousand of reales)</v>
      </c>
      <c r="B30" s="164">
        <v>2011</v>
      </c>
      <c r="C30" s="164">
        <f>B30+1</f>
        <v>2012</v>
      </c>
      <c r="D30" s="164">
        <f>C30+1</f>
        <v>2013</v>
      </c>
      <c r="F30" s="77" t="s">
        <v>171</v>
      </c>
      <c r="H30" s="79" t="s">
        <v>48</v>
      </c>
    </row>
    <row r="31" spans="1:11" ht="13.5" customHeight="1">
      <c r="A31" s="19" t="s">
        <v>20</v>
      </c>
      <c r="B31" s="10">
        <v>50.000000000001819</v>
      </c>
      <c r="C31" s="10">
        <f ca="1">MAX(C46-C32-C33-C35,C95)</f>
        <v>50</v>
      </c>
      <c r="D31" s="10">
        <f ca="1">MAX(D46-D32-D33-D35,D95)</f>
        <v>50</v>
      </c>
      <c r="F31" s="60">
        <f ca="1">D31-B31</f>
        <v>-1.8189894035458565E-12</v>
      </c>
      <c r="H31" s="5" t="s">
        <v>49</v>
      </c>
    </row>
    <row r="32" spans="1:11" ht="13.5" customHeight="1">
      <c r="A32" s="19" t="s">
        <v>21</v>
      </c>
      <c r="B32" s="10">
        <v>6575.3424657534242</v>
      </c>
      <c r="C32" s="10">
        <f>C3/365*C88</f>
        <v>8876.7123287671238</v>
      </c>
      <c r="D32" s="10">
        <f>D3/365*D88</f>
        <v>9764.3835616438355</v>
      </c>
      <c r="F32" s="60">
        <f>D32-B32</f>
        <v>3189.0410958904113</v>
      </c>
      <c r="H32" s="5" t="s">
        <v>50</v>
      </c>
    </row>
    <row r="33" spans="1:13" ht="13.5" customHeight="1">
      <c r="A33" s="19" t="s">
        <v>22</v>
      </c>
      <c r="B33" s="10">
        <v>1347.9452054794522</v>
      </c>
      <c r="C33" s="10">
        <f>C4/365*C89</f>
        <v>1637.2602739726028</v>
      </c>
      <c r="D33" s="10">
        <f>D4/365*D89</f>
        <v>1822.6849315068491</v>
      </c>
      <c r="F33" s="60">
        <f>D33-B33</f>
        <v>474.73972602739696</v>
      </c>
      <c r="H33" s="5" t="s">
        <v>51</v>
      </c>
    </row>
    <row r="34" spans="1:13" ht="13.5" customHeight="1">
      <c r="A34" s="9" t="s">
        <v>217</v>
      </c>
      <c r="B34" s="11">
        <v>7973.287671232878</v>
      </c>
      <c r="C34" s="11">
        <f ca="1">SUM(C31:C33)</f>
        <v>10563.972602739726</v>
      </c>
      <c r="D34" s="11">
        <f ca="1">SUM(D31:D33)</f>
        <v>11637.068493150684</v>
      </c>
      <c r="F34" s="60"/>
      <c r="H34" s="5"/>
    </row>
    <row r="35" spans="1:13" ht="13.5" customHeight="1">
      <c r="A35" s="14" t="s">
        <v>218</v>
      </c>
      <c r="B35" s="15">
        <v>6000</v>
      </c>
      <c r="C35" s="15">
        <f>B35+C91-C10</f>
        <v>6000</v>
      </c>
      <c r="D35" s="15">
        <f>C35+D91-D10</f>
        <v>6000</v>
      </c>
      <c r="F35" s="60">
        <f>D35-B35</f>
        <v>0</v>
      </c>
      <c r="H35" s="5" t="s">
        <v>247</v>
      </c>
    </row>
    <row r="36" spans="1:13" ht="13.5" customHeight="1">
      <c r="A36" s="14" t="s">
        <v>219</v>
      </c>
      <c r="B36" s="22">
        <v>13973.287671232878</v>
      </c>
      <c r="C36" s="22">
        <f ca="1">C34+C35</f>
        <v>16563.972602739726</v>
      </c>
      <c r="D36" s="22">
        <f ca="1">D34+D35</f>
        <v>17637.068493150684</v>
      </c>
      <c r="F36" s="60"/>
      <c r="H36" s="5"/>
    </row>
    <row r="37" spans="1:13" ht="13.5" customHeight="1">
      <c r="B37" s="34" t="s">
        <v>4</v>
      </c>
      <c r="D37" s="34" t="s">
        <v>4</v>
      </c>
      <c r="F37" s="61"/>
      <c r="H37" s="5"/>
    </row>
    <row r="38" spans="1:13" ht="13.5" customHeight="1">
      <c r="A38" s="43" t="s">
        <v>36</v>
      </c>
      <c r="B38" s="40"/>
      <c r="F38" s="61"/>
      <c r="H38" s="5"/>
    </row>
    <row r="39" spans="1:13" ht="13.5" customHeight="1">
      <c r="A39" s="9" t="s">
        <v>23</v>
      </c>
      <c r="B39" s="11">
        <v>2023.2689059861136</v>
      </c>
      <c r="C39" s="11">
        <f>C48/365*C90</f>
        <v>2479.6697316569716</v>
      </c>
      <c r="D39" s="11">
        <f>D48/365*D90</f>
        <v>2749.2677800713082</v>
      </c>
      <c r="F39" s="60">
        <f>D39-B39</f>
        <v>725.99887408519453</v>
      </c>
      <c r="H39" s="5" t="s">
        <v>52</v>
      </c>
    </row>
    <row r="40" spans="1:13" ht="13.5" customHeight="1">
      <c r="A40" s="19" t="s">
        <v>220</v>
      </c>
      <c r="B40" s="10">
        <v>600.99347316917203</v>
      </c>
      <c r="C40" s="10">
        <f>C92*C3</f>
        <v>720</v>
      </c>
      <c r="D40" s="10">
        <f>D92*D3</f>
        <v>792</v>
      </c>
      <c r="F40" s="60">
        <f>D40-B40</f>
        <v>191.00652683082797</v>
      </c>
      <c r="H40" s="5" t="s">
        <v>176</v>
      </c>
    </row>
    <row r="41" spans="1:13" ht="13.5" customHeight="1">
      <c r="A41" s="14" t="s">
        <v>24</v>
      </c>
      <c r="B41" s="10">
        <v>3266.8842276942623</v>
      </c>
      <c r="C41" s="10">
        <f ca="1">MAX(C62-C63,0)</f>
        <v>4225.7653835477704</v>
      </c>
      <c r="D41" s="10">
        <f ca="1">MAX(D62-D63,0)</f>
        <v>3881.2292747789161</v>
      </c>
      <c r="F41" s="60">
        <f ca="1">D41-B41</f>
        <v>614.34504708465374</v>
      </c>
      <c r="H41" s="5" t="s">
        <v>248</v>
      </c>
    </row>
    <row r="42" spans="1:13" ht="13.5" customHeight="1">
      <c r="A42" s="9" t="s">
        <v>221</v>
      </c>
      <c r="B42" s="11">
        <v>5891.1466068495483</v>
      </c>
      <c r="C42" s="11">
        <f ca="1">C39+C40+C41</f>
        <v>7425.435115204742</v>
      </c>
      <c r="D42" s="11">
        <f ca="1">D39+D40+D41</f>
        <v>7422.4970548502242</v>
      </c>
      <c r="F42" s="60"/>
      <c r="H42" s="5"/>
    </row>
    <row r="43" spans="1:13" ht="13.5" customHeight="1">
      <c r="A43" s="19" t="s">
        <v>222</v>
      </c>
      <c r="B43" s="10">
        <v>2000</v>
      </c>
      <c r="C43" s="10">
        <f>B43+C93</f>
        <v>1500</v>
      </c>
      <c r="D43" s="10">
        <f>C43+D93</f>
        <v>1000</v>
      </c>
      <c r="F43" s="60">
        <f>D43-B43</f>
        <v>-1000</v>
      </c>
      <c r="H43" s="5" t="s">
        <v>54</v>
      </c>
    </row>
    <row r="44" spans="1:13" ht="13.5" customHeight="1">
      <c r="A44" s="19" t="s">
        <v>223</v>
      </c>
      <c r="B44" s="10">
        <v>4679.822960321927</v>
      </c>
      <c r="C44" s="10">
        <f>B44+B45*(1-B94)</f>
        <v>6082.1410643833287</v>
      </c>
      <c r="D44" s="10">
        <f ca="1">C44+C45*(1-C94)</f>
        <v>7638.5374875349844</v>
      </c>
      <c r="F44" s="60">
        <f ca="1">D44-B44</f>
        <v>2958.7145272130574</v>
      </c>
      <c r="H44" s="5" t="s">
        <v>53</v>
      </c>
    </row>
    <row r="45" spans="1:13" ht="13.5" customHeight="1">
      <c r="A45" s="14" t="s">
        <v>224</v>
      </c>
      <c r="B45" s="15">
        <v>1402.3181040614018</v>
      </c>
      <c r="C45" s="15">
        <f ca="1">C15</f>
        <v>1556.3964231516561</v>
      </c>
      <c r="D45" s="15">
        <f ca="1">D15</f>
        <v>1576.0339507654758</v>
      </c>
      <c r="F45" s="60">
        <f ca="1">D45-B45</f>
        <v>173.71584670407401</v>
      </c>
      <c r="H45" s="5"/>
      <c r="M45" s="100"/>
    </row>
    <row r="46" spans="1:13" ht="13.5" customHeight="1">
      <c r="A46" s="23" t="s">
        <v>26</v>
      </c>
      <c r="B46" s="22">
        <v>13973.287671232878</v>
      </c>
      <c r="C46" s="22">
        <f ca="1">C42+C43+C44+C45</f>
        <v>16563.972602739726</v>
      </c>
      <c r="D46" s="22">
        <f ca="1">D42+D43+D44+D45</f>
        <v>17637.068493150684</v>
      </c>
      <c r="H46" s="5"/>
      <c r="M46" s="100"/>
    </row>
    <row r="47" spans="1:13" ht="13.5" customHeight="1">
      <c r="A47" s="62"/>
      <c r="B47" s="12"/>
      <c r="C47" s="12"/>
      <c r="D47" s="12"/>
      <c r="M47" s="105"/>
    </row>
    <row r="48" spans="1:13" ht="13.5" customHeight="1">
      <c r="A48" s="29" t="s">
        <v>19</v>
      </c>
      <c r="B48" s="32">
        <v>24616</v>
      </c>
      <c r="C48" s="32">
        <f>C4+(C33-B33)</f>
        <v>30169.31506849315</v>
      </c>
      <c r="D48" s="32">
        <f>D4+(D33-C33)</f>
        <v>33449.424657534248</v>
      </c>
      <c r="F48" s="63" t="s">
        <v>266</v>
      </c>
      <c r="K48" s="101"/>
    </row>
    <row r="49" spans="1:11" ht="13.5" customHeight="1">
      <c r="A49" s="29" t="s">
        <v>225</v>
      </c>
      <c r="B49" s="64"/>
      <c r="C49" s="32">
        <f>C35-B35+C10</f>
        <v>600</v>
      </c>
      <c r="D49" s="32">
        <f>D35-C35+D10</f>
        <v>600</v>
      </c>
      <c r="F49" s="6" t="s">
        <v>249</v>
      </c>
    </row>
    <row r="50" spans="1:11" ht="13.5" customHeight="1">
      <c r="A50" s="31"/>
      <c r="B50" s="32"/>
      <c r="C50" s="32"/>
      <c r="D50" s="32"/>
      <c r="F50" s="65"/>
    </row>
    <row r="51" spans="1:11" ht="13.5" customHeight="1" thickBot="1">
      <c r="A51" s="50" t="s">
        <v>226</v>
      </c>
      <c r="B51" s="78">
        <f>B30</f>
        <v>2011</v>
      </c>
      <c r="C51" s="78">
        <f>C30</f>
        <v>2012</v>
      </c>
      <c r="D51" s="78">
        <f>D30</f>
        <v>2013</v>
      </c>
      <c r="E51" s="53"/>
      <c r="F51" s="77" t="str">
        <f>F30</f>
        <v>SUF 2011-13</v>
      </c>
    </row>
    <row r="52" spans="1:11" ht="19.5" customHeight="1">
      <c r="A52" s="66" t="s">
        <v>227</v>
      </c>
      <c r="B52" s="27">
        <f>B62</f>
        <v>5349.0252920775911</v>
      </c>
      <c r="C52" s="27">
        <f>C62</f>
        <v>7364.3028710827548</v>
      </c>
      <c r="D52" s="27">
        <f>D62</f>
        <v>8095.8007130793758</v>
      </c>
      <c r="E52" s="53"/>
      <c r="F52" s="60">
        <f>D52-B52</f>
        <v>2746.7754210017847</v>
      </c>
    </row>
    <row r="53" spans="1:11" ht="13.5" customHeight="1">
      <c r="A53" s="66" t="s">
        <v>228</v>
      </c>
      <c r="B53" s="28">
        <f>B35</f>
        <v>6000</v>
      </c>
      <c r="C53" s="28">
        <f>C35</f>
        <v>6000</v>
      </c>
      <c r="D53" s="28">
        <f>D35</f>
        <v>6000</v>
      </c>
      <c r="E53" s="53"/>
      <c r="F53" s="60">
        <f>D53-B53</f>
        <v>0</v>
      </c>
    </row>
    <row r="54" spans="1:11" ht="13.5" customHeight="1">
      <c r="A54" s="66" t="s">
        <v>282</v>
      </c>
      <c r="B54" s="27">
        <f ca="1">B59+B52+B53</f>
        <v>11349.025292077591</v>
      </c>
      <c r="C54" s="27">
        <f ca="1">C59+C52+C53</f>
        <v>13364.302871082755</v>
      </c>
      <c r="D54" s="27">
        <f ca="1">D59+D52+D53</f>
        <v>14095.800713079376</v>
      </c>
      <c r="E54" s="53"/>
      <c r="F54" s="60"/>
    </row>
    <row r="55" spans="1:11" ht="7.5" customHeight="1">
      <c r="A55" s="66"/>
      <c r="B55" s="27"/>
      <c r="C55" s="27"/>
      <c r="D55" s="27"/>
      <c r="E55" s="53"/>
      <c r="F55" s="60"/>
    </row>
    <row r="56" spans="1:11" ht="13.5" customHeight="1">
      <c r="A56" s="66" t="s">
        <v>283</v>
      </c>
      <c r="B56" s="27">
        <f>B41+B43</f>
        <v>5266.8842276942623</v>
      </c>
      <c r="C56" s="27">
        <f ca="1">C41+C43</f>
        <v>5725.7653835477704</v>
      </c>
      <c r="D56" s="27">
        <f ca="1">D41+D43</f>
        <v>4881.2292747789161</v>
      </c>
      <c r="E56" s="53"/>
      <c r="F56" s="60">
        <f ca="1">D56-B56</f>
        <v>-385.65495291534626</v>
      </c>
      <c r="J56" s="49"/>
      <c r="K56" s="49"/>
    </row>
    <row r="57" spans="1:11" ht="13.5" customHeight="1">
      <c r="A57" s="66" t="s">
        <v>284</v>
      </c>
      <c r="B57" s="28">
        <f>B44+B45</f>
        <v>6082.1410643833287</v>
      </c>
      <c r="C57" s="28">
        <f ca="1">C44+C45</f>
        <v>7638.5374875349844</v>
      </c>
      <c r="D57" s="28">
        <f ca="1">D44+D45</f>
        <v>9214.5714383004597</v>
      </c>
      <c r="E57" s="53"/>
      <c r="F57" s="60">
        <f ca="1">D57-B57</f>
        <v>3132.430373917131</v>
      </c>
    </row>
    <row r="58" spans="1:11" ht="13.5" customHeight="1">
      <c r="A58" s="66" t="s">
        <v>287</v>
      </c>
      <c r="B58" s="27">
        <f>B56+B57</f>
        <v>11349.025292077591</v>
      </c>
      <c r="C58" s="27">
        <f ca="1">C56+C57</f>
        <v>13364.302871082755</v>
      </c>
      <c r="D58" s="27">
        <f ca="1">D56+D57</f>
        <v>14095.800713079376</v>
      </c>
      <c r="E58" s="53"/>
      <c r="F58" s="61"/>
      <c r="K58" s="107"/>
    </row>
    <row r="59" spans="1:11" ht="13.5" customHeight="1">
      <c r="A59" s="52" t="s">
        <v>231</v>
      </c>
      <c r="B59" s="26">
        <f ca="1">B58-B54</f>
        <v>0</v>
      </c>
      <c r="C59" s="26">
        <f ca="1">C58-C54</f>
        <v>0</v>
      </c>
      <c r="D59" s="26">
        <f ca="1">D58-D54</f>
        <v>0</v>
      </c>
      <c r="E59" s="53"/>
      <c r="F59" s="60">
        <f ca="1">D59-B59</f>
        <v>0</v>
      </c>
    </row>
    <row r="60" spans="1:11" ht="13.5" customHeight="1">
      <c r="A60" s="66"/>
      <c r="B60" s="27"/>
      <c r="C60" s="27"/>
      <c r="D60" s="27"/>
      <c r="E60" s="53"/>
      <c r="F60" s="61"/>
    </row>
    <row r="61" spans="1:11" ht="13.5" customHeight="1" thickBot="1">
      <c r="A61" s="67" t="s">
        <v>232</v>
      </c>
      <c r="B61" s="68"/>
      <c r="C61" s="68"/>
      <c r="D61" s="68"/>
      <c r="E61" s="53"/>
      <c r="F61" s="60"/>
    </row>
    <row r="62" spans="1:11" ht="17.25" customHeight="1">
      <c r="A62" s="17" t="s">
        <v>27</v>
      </c>
      <c r="B62" s="69">
        <f>B95+B32+B33-B39-B40</f>
        <v>5349.0252920775911</v>
      </c>
      <c r="C62" s="69">
        <f>C95+C32+C33-C39-C40</f>
        <v>7364.3028710827548</v>
      </c>
      <c r="D62" s="69">
        <f>D95+D32+D33-D39-D40</f>
        <v>8095.8007130793758</v>
      </c>
      <c r="E62" s="53"/>
      <c r="F62" s="60">
        <f>D62-B62</f>
        <v>2746.7754210017847</v>
      </c>
    </row>
    <row r="63" spans="1:11" ht="13.5" customHeight="1">
      <c r="A63" s="17" t="s">
        <v>30</v>
      </c>
      <c r="B63" s="28">
        <f>B43+B44+B45-B35</f>
        <v>2082.1410643833287</v>
      </c>
      <c r="C63" s="28">
        <f ca="1">C43+C44+C45-C35</f>
        <v>3138.5374875349844</v>
      </c>
      <c r="D63" s="28">
        <f ca="1">D43+D44+D45-D35</f>
        <v>4214.5714383004597</v>
      </c>
      <c r="E63" s="53"/>
      <c r="F63" s="60">
        <f ca="1">D63-B63</f>
        <v>2132.430373917131</v>
      </c>
    </row>
    <row r="64" spans="1:11" ht="13.5" customHeight="1">
      <c r="A64" s="17" t="s">
        <v>233</v>
      </c>
      <c r="B64" s="27">
        <f>B63-B62</f>
        <v>-3266.8842276942623</v>
      </c>
      <c r="C64" s="27">
        <f ca="1">C63-C62</f>
        <v>-4225.7653835477704</v>
      </c>
      <c r="D64" s="27">
        <f ca="1">D63-D62</f>
        <v>-3881.2292747789161</v>
      </c>
      <c r="E64" s="53"/>
      <c r="F64" s="60">
        <f ca="1">D64-B64</f>
        <v>-614.34504708465374</v>
      </c>
    </row>
    <row r="65" spans="1:8" ht="13.5" customHeight="1">
      <c r="A65" s="17" t="s">
        <v>234</v>
      </c>
      <c r="B65" s="69"/>
      <c r="C65" s="69"/>
      <c r="D65" s="69"/>
      <c r="E65" s="53"/>
      <c r="F65" s="53"/>
      <c r="G65" s="70"/>
    </row>
    <row r="66" spans="1:8" ht="13.5" customHeight="1">
      <c r="B66" s="32"/>
      <c r="C66" s="32"/>
      <c r="D66" s="32"/>
      <c r="G66" s="70"/>
    </row>
    <row r="67" spans="1:8" ht="13.5" customHeight="1" thickBot="1">
      <c r="A67" s="67" t="s">
        <v>235</v>
      </c>
      <c r="B67" s="78">
        <f>B51</f>
        <v>2011</v>
      </c>
      <c r="C67" s="78">
        <f>C51</f>
        <v>2012</v>
      </c>
      <c r="D67" s="78">
        <f>D51</f>
        <v>2013</v>
      </c>
    </row>
    <row r="68" spans="1:8" ht="13.5" customHeight="1">
      <c r="A68" s="17" t="s">
        <v>38</v>
      </c>
      <c r="B68" s="69">
        <f t="shared" ref="B68:D69" si="0">B32/B3*365</f>
        <v>80</v>
      </c>
      <c r="C68" s="69">
        <f t="shared" si="0"/>
        <v>90</v>
      </c>
      <c r="D68" s="69">
        <f t="shared" si="0"/>
        <v>90</v>
      </c>
      <c r="H68" s="71" t="s">
        <v>159</v>
      </c>
    </row>
    <row r="69" spans="1:8" ht="13.5" customHeight="1">
      <c r="A69" s="17" t="s">
        <v>39</v>
      </c>
      <c r="B69" s="69">
        <f t="shared" si="0"/>
        <v>20</v>
      </c>
      <c r="C69" s="69">
        <f t="shared" si="0"/>
        <v>20</v>
      </c>
      <c r="D69" s="69">
        <f t="shared" si="0"/>
        <v>20</v>
      </c>
      <c r="H69" s="71" t="s">
        <v>144</v>
      </c>
    </row>
    <row r="70" spans="1:8" ht="13.5" customHeight="1">
      <c r="A70" s="17" t="s">
        <v>40</v>
      </c>
      <c r="B70" s="69">
        <f>B39/B48*365</f>
        <v>30.000534233219511</v>
      </c>
      <c r="C70" s="69">
        <f>C39/C48*365</f>
        <v>30.000000000000004</v>
      </c>
      <c r="D70" s="69">
        <f>D39/D48*365</f>
        <v>30.000000000000004</v>
      </c>
    </row>
    <row r="71" spans="1:8" ht="13.5" customHeight="1">
      <c r="A71" s="17" t="s">
        <v>31</v>
      </c>
      <c r="B71" s="54">
        <f>B62/B3</f>
        <v>0.17830084306925303</v>
      </c>
      <c r="C71" s="54">
        <f>C62/C3</f>
        <v>0.20456396864118764</v>
      </c>
      <c r="D71" s="54">
        <f>D62/D3</f>
        <v>0.20443941194644888</v>
      </c>
    </row>
    <row r="72" spans="1:8" ht="13.5" customHeight="1">
      <c r="A72" s="17" t="s">
        <v>41</v>
      </c>
      <c r="B72" s="72">
        <f>(B42+B43)/B57</f>
        <v>1.29742906705332</v>
      </c>
      <c r="C72" s="72">
        <f ca="1">(C42+C43)/C57</f>
        <v>1.1684743486262643</v>
      </c>
      <c r="D72" s="72">
        <f ca="1">(D42+D43)/D57</f>
        <v>0.91404110448827058</v>
      </c>
    </row>
    <row r="73" spans="1:8" ht="13.5" customHeight="1">
      <c r="A73" s="17" t="s">
        <v>160</v>
      </c>
      <c r="B73" s="72">
        <f>B56/B9</f>
        <v>1.6827106158767611</v>
      </c>
      <c r="C73" s="72">
        <f ca="1">C56/C9</f>
        <v>1.6860322095252562</v>
      </c>
      <c r="D73" s="72">
        <f ca="1">D56/D9</f>
        <v>1.4616209350757325</v>
      </c>
    </row>
    <row r="74" spans="1:8" ht="13.5" customHeight="1">
      <c r="A74" s="17" t="s">
        <v>295</v>
      </c>
      <c r="B74" s="72">
        <f>B56/B15</f>
        <v>3.755841283400879</v>
      </c>
      <c r="C74" s="72">
        <f ca="1">C56/C15</f>
        <v>3.6788605385980437</v>
      </c>
      <c r="D74" s="72">
        <f ca="1">D56/D15</f>
        <v>3.097159977047522</v>
      </c>
    </row>
    <row r="75" spans="1:8" ht="11.25" customHeight="1">
      <c r="B75" s="30"/>
      <c r="C75" s="30"/>
      <c r="D75" s="30"/>
    </row>
    <row r="76" spans="1:8" ht="11.25" customHeight="1">
      <c r="A76" s="31" t="s">
        <v>162</v>
      </c>
      <c r="B76" s="32"/>
      <c r="D76" s="32"/>
    </row>
    <row r="77" spans="1:8" ht="11.25" customHeight="1">
      <c r="A77" s="31" t="s">
        <v>245</v>
      </c>
      <c r="B77" s="33"/>
      <c r="C77" s="33"/>
      <c r="D77" s="33"/>
    </row>
    <row r="78" spans="1:8" ht="11.25" customHeight="1">
      <c r="A78" s="31" t="s">
        <v>178</v>
      </c>
    </row>
    <row r="79" spans="1:8" ht="11.25" customHeight="1">
      <c r="A79" s="31" t="s">
        <v>212</v>
      </c>
      <c r="B79" s="33"/>
      <c r="C79" s="35">
        <v>0.2</v>
      </c>
      <c r="D79" s="35">
        <v>0.1</v>
      </c>
    </row>
    <row r="80" spans="1:8" ht="11.25" customHeight="1">
      <c r="A80" s="31" t="s">
        <v>179</v>
      </c>
      <c r="B80" s="36">
        <v>0.82</v>
      </c>
      <c r="C80" s="36">
        <v>0.83</v>
      </c>
      <c r="D80" s="36">
        <v>0.84</v>
      </c>
    </row>
    <row r="81" spans="1:4" ht="11.25" customHeight="1">
      <c r="A81" s="31" t="s">
        <v>236</v>
      </c>
      <c r="B81" s="36"/>
      <c r="C81" s="36">
        <f>C79</f>
        <v>0.2</v>
      </c>
      <c r="D81" s="36">
        <f>D79</f>
        <v>0.1</v>
      </c>
    </row>
    <row r="82" spans="1:4" ht="11.25" customHeight="1">
      <c r="A82" s="31" t="s">
        <v>237</v>
      </c>
      <c r="B82" s="37"/>
      <c r="C82" s="36">
        <f>C79</f>
        <v>0.2</v>
      </c>
      <c r="D82" s="36">
        <f>D79</f>
        <v>0.1</v>
      </c>
    </row>
    <row r="83" spans="1:4" ht="11.25" customHeight="1">
      <c r="A83" s="31" t="s">
        <v>238</v>
      </c>
      <c r="B83" s="36">
        <v>0.1</v>
      </c>
      <c r="C83" s="36">
        <v>0.1</v>
      </c>
      <c r="D83" s="36">
        <v>0.1</v>
      </c>
    </row>
    <row r="84" spans="1:4" ht="11.25" customHeight="1">
      <c r="A84" s="31" t="s">
        <v>15</v>
      </c>
      <c r="B84" s="36">
        <v>0.1</v>
      </c>
      <c r="C84" s="38">
        <f>B84</f>
        <v>0.1</v>
      </c>
      <c r="D84" s="38">
        <f>C84</f>
        <v>0.1</v>
      </c>
    </row>
    <row r="85" spans="1:4" ht="11.25" customHeight="1">
      <c r="A85" s="31" t="s">
        <v>239</v>
      </c>
      <c r="B85" s="36">
        <v>0.3</v>
      </c>
      <c r="C85" s="38">
        <f>B85</f>
        <v>0.3</v>
      </c>
      <c r="D85" s="38">
        <f>C85</f>
        <v>0.3</v>
      </c>
    </row>
    <row r="86" spans="1:4" ht="11.25" customHeight="1">
      <c r="A86" s="31"/>
      <c r="B86" s="73"/>
      <c r="C86" s="39"/>
      <c r="D86" s="39"/>
    </row>
    <row r="87" spans="1:4" ht="11.25" customHeight="1">
      <c r="A87" s="31" t="s">
        <v>180</v>
      </c>
    </row>
    <row r="88" spans="1:4" ht="11.25" customHeight="1">
      <c r="A88" s="31" t="s">
        <v>240</v>
      </c>
      <c r="B88" s="40">
        <v>80</v>
      </c>
      <c r="C88" s="40">
        <v>90</v>
      </c>
      <c r="D88" s="40">
        <v>90</v>
      </c>
    </row>
    <row r="89" spans="1:4" ht="11.25" customHeight="1">
      <c r="A89" s="31" t="s">
        <v>241</v>
      </c>
      <c r="B89" s="40">
        <v>20</v>
      </c>
      <c r="C89" s="40">
        <v>20</v>
      </c>
      <c r="D89" s="40">
        <v>20</v>
      </c>
    </row>
    <row r="90" spans="1:4" ht="11.25" customHeight="1">
      <c r="A90" s="31" t="s">
        <v>242</v>
      </c>
      <c r="B90" s="40">
        <v>30</v>
      </c>
      <c r="C90" s="40">
        <v>30</v>
      </c>
      <c r="D90" s="40">
        <v>30</v>
      </c>
    </row>
    <row r="91" spans="1:4" ht="11.25" customHeight="1">
      <c r="A91" s="25" t="s">
        <v>208</v>
      </c>
      <c r="B91" s="40"/>
      <c r="C91" s="64">
        <f>C10</f>
        <v>600</v>
      </c>
      <c r="D91" s="64">
        <f>D10</f>
        <v>600</v>
      </c>
    </row>
    <row r="92" spans="1:4" ht="11.25" customHeight="1">
      <c r="A92" s="31" t="s">
        <v>243</v>
      </c>
      <c r="C92" s="35">
        <v>0.02</v>
      </c>
      <c r="D92" s="35">
        <v>0.02</v>
      </c>
    </row>
    <row r="93" spans="1:4" ht="11.25" customHeight="1">
      <c r="A93" s="31" t="s">
        <v>244</v>
      </c>
      <c r="B93" s="40"/>
      <c r="C93" s="40">
        <v>-500</v>
      </c>
      <c r="D93" s="40">
        <v>-500</v>
      </c>
    </row>
    <row r="94" spans="1:4" ht="11.25" customHeight="1">
      <c r="A94" s="31" t="s">
        <v>202</v>
      </c>
      <c r="B94" s="40">
        <v>0</v>
      </c>
      <c r="C94" s="40">
        <v>0</v>
      </c>
      <c r="D94" s="40">
        <v>0</v>
      </c>
    </row>
    <row r="95" spans="1:4" ht="11.25" customHeight="1">
      <c r="A95" s="31" t="s">
        <v>203</v>
      </c>
      <c r="B95" s="40">
        <v>50</v>
      </c>
      <c r="C95" s="40">
        <v>50</v>
      </c>
      <c r="D95" s="40">
        <v>50</v>
      </c>
    </row>
    <row r="96" spans="1:4" ht="11.25" customHeight="1">
      <c r="A96" s="6"/>
      <c r="B96" s="6"/>
      <c r="C96" s="6"/>
      <c r="D96" s="6"/>
    </row>
    <row r="97" spans="1:4" ht="11.25" customHeight="1">
      <c r="A97" s="6"/>
      <c r="B97" s="6"/>
      <c r="C97" s="6"/>
      <c r="D97" s="6"/>
    </row>
    <row r="98" spans="1:4" ht="11.25" customHeight="1">
      <c r="A98" s="6"/>
      <c r="B98" s="6"/>
      <c r="C98" s="6"/>
      <c r="D98" s="6"/>
    </row>
    <row r="99" spans="1:4" ht="11.25" customHeight="1">
      <c r="A99" s="6"/>
      <c r="B99" s="6"/>
      <c r="C99" s="6"/>
      <c r="D99" s="6"/>
    </row>
    <row r="100" spans="1:4" ht="11.25" customHeight="1">
      <c r="A100" s="6"/>
      <c r="B100" s="100"/>
      <c r="C100" s="100"/>
      <c r="D100" s="100"/>
    </row>
    <row r="101" spans="1:4" ht="11.25" customHeight="1">
      <c r="A101" s="6"/>
      <c r="B101" s="6"/>
      <c r="C101" s="6"/>
      <c r="D101" s="6"/>
    </row>
    <row r="102" spans="1:4" ht="11.25" customHeight="1">
      <c r="A102" s="6"/>
      <c r="B102" s="6"/>
      <c r="C102" s="6"/>
      <c r="D102" s="6"/>
    </row>
    <row r="103" spans="1:4" ht="11.25" customHeight="1">
      <c r="A103" s="6"/>
      <c r="B103" s="6"/>
      <c r="C103" s="6"/>
      <c r="D103" s="6"/>
    </row>
    <row r="104" spans="1:4" ht="11.25" customHeight="1">
      <c r="A104" s="6"/>
      <c r="B104" s="6"/>
      <c r="C104" s="6"/>
      <c r="D104" s="6"/>
    </row>
    <row r="105" spans="1:4" ht="11.25" customHeight="1">
      <c r="A105" s="6"/>
      <c r="B105" s="6"/>
      <c r="C105" s="6"/>
      <c r="D105" s="6"/>
    </row>
    <row r="106" spans="1:4" ht="11.25" customHeight="1">
      <c r="A106" s="6"/>
      <c r="B106" s="6"/>
      <c r="C106" s="6"/>
      <c r="D106" s="6"/>
    </row>
    <row r="107" spans="1:4" ht="11.25" customHeight="1">
      <c r="B107" s="21"/>
      <c r="C107" s="21"/>
      <c r="D107" s="12"/>
    </row>
    <row r="108" spans="1:4" ht="11.25" customHeight="1">
      <c r="B108" s="21"/>
      <c r="C108" s="21"/>
      <c r="D108" s="12"/>
    </row>
    <row r="109" spans="1:4" ht="11.25" customHeight="1">
      <c r="B109" s="21"/>
      <c r="C109" s="21"/>
      <c r="D109" s="21"/>
    </row>
    <row r="110" spans="1:4" ht="11.25" customHeight="1"/>
    <row r="111" spans="1:4">
      <c r="B111" s="41"/>
      <c r="C111" s="41"/>
      <c r="D111" s="41"/>
    </row>
    <row r="112" spans="1:4">
      <c r="B112" s="41"/>
      <c r="C112" s="41"/>
      <c r="D112" s="41"/>
    </row>
    <row r="113" spans="2:4">
      <c r="B113" s="41"/>
      <c r="C113" s="41"/>
      <c r="D113" s="41"/>
    </row>
    <row r="114" spans="2:4">
      <c r="B114" s="41"/>
      <c r="C114" s="42"/>
      <c r="D114" s="42"/>
    </row>
    <row r="115" spans="2:4">
      <c r="B115" s="41"/>
      <c r="C115" s="42"/>
      <c r="D115" s="42"/>
    </row>
    <row r="116" spans="2:4">
      <c r="C116" s="21"/>
      <c r="D116" s="21"/>
    </row>
    <row r="117" spans="2:4">
      <c r="C117" s="21"/>
      <c r="D117" s="21"/>
    </row>
  </sheetData>
  <phoneticPr fontId="5" type="noConversion"/>
  <printOptions gridLinesSet="0"/>
  <pageMargins left="0.8" right="0.19" top="0.62" bottom="0.59" header="0.5" footer="0.5"/>
  <pageSetup paperSize="9" orientation="portrait" horizontalDpi="4294967292" verticalDpi="4294967292" r:id="rId1"/>
  <headerFooter alignWithMargins="0"/>
  <rowBreaks count="2" manualBreakCount="2">
    <brk id="27" max="7" man="1"/>
    <brk id="75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13"/>
  <sheetViews>
    <sheetView showGridLines="0" workbookViewId="0">
      <selection activeCell="H2" sqref="H2:N8"/>
    </sheetView>
  </sheetViews>
  <sheetFormatPr defaultRowHeight="11.5"/>
  <cols>
    <col min="2" max="2" width="16" bestFit="1" customWidth="1"/>
    <col min="3" max="4" width="9" style="233" customWidth="1"/>
    <col min="9" max="14" width="10.59765625" style="233" customWidth="1"/>
  </cols>
  <sheetData>
    <row r="2" spans="2:4">
      <c r="B2" s="238"/>
      <c r="C2" s="239" t="s">
        <v>376</v>
      </c>
      <c r="D2" s="239" t="s">
        <v>377</v>
      </c>
    </row>
    <row r="3" spans="2:4">
      <c r="B3" t="s">
        <v>62</v>
      </c>
      <c r="C3" s="233">
        <v>100</v>
      </c>
      <c r="D3" s="233">
        <v>100</v>
      </c>
    </row>
    <row r="4" spans="2:4">
      <c r="B4" t="s">
        <v>371</v>
      </c>
      <c r="C4" s="233">
        <v>10</v>
      </c>
      <c r="D4" s="233">
        <v>25</v>
      </c>
    </row>
    <row r="5" spans="2:4">
      <c r="B5" t="s">
        <v>372</v>
      </c>
      <c r="C5" s="233">
        <v>100</v>
      </c>
      <c r="D5" s="233">
        <v>250</v>
      </c>
    </row>
    <row r="6" spans="2:4">
      <c r="B6" t="s">
        <v>363</v>
      </c>
      <c r="C6" s="233">
        <v>50</v>
      </c>
      <c r="D6" s="233">
        <v>125</v>
      </c>
    </row>
    <row r="7" spans="2:4" ht="5.4" customHeight="1"/>
    <row r="8" spans="2:4">
      <c r="B8" t="s">
        <v>55</v>
      </c>
      <c r="C8" s="234">
        <v>0.1</v>
      </c>
      <c r="D8" s="234">
        <v>2.5000000000000001E-2</v>
      </c>
    </row>
    <row r="9" spans="2:4">
      <c r="B9" t="s">
        <v>373</v>
      </c>
      <c r="C9" s="235">
        <v>1</v>
      </c>
      <c r="D9" s="235">
        <v>4</v>
      </c>
    </row>
    <row r="10" spans="2:4">
      <c r="B10" t="s">
        <v>374</v>
      </c>
      <c r="C10" s="235">
        <v>2</v>
      </c>
      <c r="D10" s="235">
        <v>2</v>
      </c>
    </row>
    <row r="11" spans="2:4">
      <c r="B11" t="s">
        <v>56</v>
      </c>
      <c r="C11" s="234">
        <v>0.2</v>
      </c>
      <c r="D11" s="234">
        <v>0.2</v>
      </c>
    </row>
    <row r="12" spans="2:4" ht="5.4" customHeight="1"/>
    <row r="13" spans="2:4">
      <c r="B13" s="236" t="s">
        <v>375</v>
      </c>
      <c r="C13" s="237">
        <v>0.1</v>
      </c>
      <c r="D13" s="237">
        <v>0.1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95C9-79D7-4F1E-8B94-E55D90357BAD}">
  <dimension ref="B2:H6"/>
  <sheetViews>
    <sheetView showGridLines="0" workbookViewId="0">
      <selection activeCell="F11" sqref="F11"/>
    </sheetView>
  </sheetViews>
  <sheetFormatPr defaultRowHeight="11.5"/>
  <cols>
    <col min="2" max="2" width="14.5" bestFit="1" customWidth="1"/>
  </cols>
  <sheetData>
    <row r="2" spans="2:8" s="240" customFormat="1" ht="17.399999999999999" customHeight="1">
      <c r="B2" s="243"/>
      <c r="C2" s="244" t="s">
        <v>378</v>
      </c>
      <c r="D2" s="244" t="s">
        <v>379</v>
      </c>
      <c r="E2" s="244" t="s">
        <v>380</v>
      </c>
      <c r="F2" s="244" t="s">
        <v>381</v>
      </c>
      <c r="G2" s="244" t="s">
        <v>382</v>
      </c>
      <c r="H2" s="244" t="s">
        <v>383</v>
      </c>
    </row>
    <row r="3" spans="2:8" s="240" customFormat="1" ht="17.399999999999999" customHeight="1">
      <c r="B3" s="240" t="s">
        <v>62</v>
      </c>
      <c r="C3" s="241">
        <v>100</v>
      </c>
      <c r="D3" s="241">
        <v>100</v>
      </c>
      <c r="E3" s="241">
        <v>100</v>
      </c>
      <c r="F3" s="241">
        <v>400</v>
      </c>
      <c r="G3" s="241">
        <v>400</v>
      </c>
      <c r="H3" s="241">
        <v>400</v>
      </c>
    </row>
    <row r="4" spans="2:8" s="240" customFormat="1" ht="17.399999999999999" customHeight="1">
      <c r="B4" s="240" t="s">
        <v>384</v>
      </c>
      <c r="C4" s="241">
        <v>100</v>
      </c>
      <c r="D4" s="241">
        <v>100</v>
      </c>
      <c r="E4" s="241">
        <v>100</v>
      </c>
      <c r="F4" s="241">
        <v>400</v>
      </c>
      <c r="G4" s="241">
        <v>400</v>
      </c>
      <c r="H4" s="241">
        <v>400</v>
      </c>
    </row>
    <row r="5" spans="2:8" s="240" customFormat="1" ht="17.399999999999999" customHeight="1">
      <c r="B5" s="240" t="s">
        <v>385</v>
      </c>
      <c r="C5" s="241"/>
      <c r="D5" s="241">
        <v>200</v>
      </c>
      <c r="E5" s="241">
        <v>200</v>
      </c>
      <c r="F5" s="241">
        <v>500</v>
      </c>
      <c r="G5" s="241">
        <v>800</v>
      </c>
      <c r="H5" s="241">
        <v>800</v>
      </c>
    </row>
    <row r="6" spans="2:8" s="240" customFormat="1" ht="17.399999999999999" customHeight="1">
      <c r="B6" s="242" t="s">
        <v>386</v>
      </c>
      <c r="C6" s="245"/>
      <c r="D6" s="245"/>
      <c r="E6" s="245">
        <v>300</v>
      </c>
      <c r="F6" s="245">
        <v>600</v>
      </c>
      <c r="G6" s="245">
        <v>900</v>
      </c>
      <c r="H6" s="246" t="s">
        <v>387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47"/>
  <sheetViews>
    <sheetView showGridLines="0" view="pageBreakPreview" zoomScaleNormal="100" zoomScaleSheetLayoutView="100" workbookViewId="0">
      <selection activeCell="A29" sqref="A29:I75"/>
    </sheetView>
  </sheetViews>
  <sheetFormatPr defaultColWidth="11.3984375" defaultRowHeight="13.5" customHeight="1"/>
  <cols>
    <col min="1" max="1" width="26.09765625" style="88" customWidth="1"/>
    <col min="2" max="4" width="10.8984375" style="108" customWidth="1"/>
    <col min="5" max="5" width="4" style="110" customWidth="1"/>
    <col min="6" max="6" width="7.19921875" style="110" customWidth="1"/>
    <col min="7" max="7" width="3.19921875" style="110" customWidth="1"/>
    <col min="8" max="8" width="8.59765625" style="110" customWidth="1"/>
    <col min="9" max="9" width="9.59765625" style="110" customWidth="1"/>
    <col min="10" max="10" width="11.3984375" style="110"/>
    <col min="11" max="11" width="12.19921875" style="110" bestFit="1" customWidth="1"/>
    <col min="12" max="16384" width="11.3984375" style="110"/>
  </cols>
  <sheetData>
    <row r="1" spans="1:29" ht="18.75" customHeight="1">
      <c r="A1" s="3" t="s">
        <v>32</v>
      </c>
      <c r="C1" s="109"/>
      <c r="D1" s="109"/>
      <c r="H1" s="170" t="s">
        <v>185</v>
      </c>
      <c r="I1" s="170" t="s">
        <v>185</v>
      </c>
      <c r="K1" s="111"/>
    </row>
    <row r="2" spans="1:29" ht="16.5" customHeight="1" thickBot="1">
      <c r="A2" s="187" t="s">
        <v>186</v>
      </c>
      <c r="B2" s="173">
        <v>2008</v>
      </c>
      <c r="C2" s="173">
        <f>B2+1</f>
        <v>2009</v>
      </c>
      <c r="D2" s="173">
        <f>C2+1</f>
        <v>2010</v>
      </c>
      <c r="H2" s="171">
        <f>D2+1</f>
        <v>2011</v>
      </c>
      <c r="I2" s="171">
        <f>H2+1</f>
        <v>2012</v>
      </c>
      <c r="J2" s="158"/>
      <c r="K2" s="111"/>
    </row>
    <row r="3" spans="1:29" ht="13.5" customHeight="1">
      <c r="A3" s="81" t="s">
        <v>10</v>
      </c>
      <c r="B3" s="112">
        <v>87000</v>
      </c>
      <c r="C3" s="112">
        <v>84016</v>
      </c>
      <c r="D3" s="112">
        <v>74233</v>
      </c>
      <c r="F3" s="1"/>
      <c r="G3" s="1"/>
      <c r="H3" s="185">
        <f>D3*(1+H19)</f>
        <v>77944.650000000009</v>
      </c>
      <c r="I3" s="185">
        <f>H3*(1+I19)</f>
        <v>81841.882500000007</v>
      </c>
      <c r="K3" s="62">
        <f>H3*1.05</f>
        <v>81841.882500000007</v>
      </c>
      <c r="L3" s="114"/>
      <c r="M3" s="114"/>
    </row>
    <row r="4" spans="1:29" s="115" customFormat="1" ht="13.5" customHeight="1">
      <c r="A4" s="82" t="s">
        <v>11</v>
      </c>
      <c r="B4" s="113">
        <v>63895</v>
      </c>
      <c r="C4" s="113">
        <v>60810</v>
      </c>
      <c r="D4" s="113">
        <v>53350</v>
      </c>
      <c r="E4" s="114"/>
      <c r="F4" s="1"/>
      <c r="G4" s="1"/>
      <c r="H4" s="186">
        <f>H3-H5</f>
        <v>55730.424750000006</v>
      </c>
      <c r="I4" s="186">
        <f>I3-I5</f>
        <v>58516.945987500003</v>
      </c>
      <c r="J4" s="114"/>
      <c r="K4" s="6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114" customFormat="1" ht="13.5" customHeight="1">
      <c r="A5" s="83" t="s">
        <v>12</v>
      </c>
      <c r="B5" s="112">
        <f>B3-B4</f>
        <v>23105</v>
      </c>
      <c r="C5" s="152">
        <f>C3-C4</f>
        <v>23206</v>
      </c>
      <c r="D5" s="112">
        <f>D3-D4</f>
        <v>20883</v>
      </c>
      <c r="F5" s="1"/>
      <c r="G5" s="1"/>
      <c r="H5" s="185">
        <f>H3*H20</f>
        <v>22214.22525</v>
      </c>
      <c r="I5" s="185">
        <f>I3*I20</f>
        <v>23324.9365125</v>
      </c>
      <c r="K5" s="62"/>
    </row>
    <row r="6" spans="1:29" ht="13.5" customHeight="1">
      <c r="A6" s="222" t="s">
        <v>250</v>
      </c>
      <c r="B6" s="116">
        <f>16640-6264</f>
        <v>10376</v>
      </c>
      <c r="C6" s="128">
        <f>15455-4126</f>
        <v>11329</v>
      </c>
      <c r="D6" s="116">
        <f>13534-3334</f>
        <v>10200</v>
      </c>
      <c r="E6" s="114"/>
      <c r="F6" s="1"/>
      <c r="G6" s="1"/>
      <c r="H6" s="185"/>
      <c r="I6" s="185"/>
      <c r="K6" s="46"/>
      <c r="L6" s="114"/>
      <c r="M6" s="114"/>
      <c r="N6" s="114"/>
      <c r="O6" s="114"/>
      <c r="P6" s="114"/>
    </row>
    <row r="7" spans="1:29" ht="13.5" customHeight="1">
      <c r="A7" s="223" t="s">
        <v>251</v>
      </c>
      <c r="B7" s="116">
        <v>6782</v>
      </c>
      <c r="C7" s="128">
        <v>5819</v>
      </c>
      <c r="D7" s="116">
        <f>5067</f>
        <v>5067</v>
      </c>
      <c r="F7" s="1"/>
      <c r="G7" s="1"/>
      <c r="H7" s="185"/>
      <c r="I7" s="185"/>
      <c r="K7" s="46"/>
      <c r="L7" s="114"/>
      <c r="M7" s="114"/>
      <c r="N7" s="114"/>
      <c r="O7" s="114"/>
      <c r="P7" s="114"/>
    </row>
    <row r="8" spans="1:29" ht="13.5" customHeight="1">
      <c r="A8" s="154" t="s">
        <v>181</v>
      </c>
      <c r="B8" s="113">
        <f>B6+B7</f>
        <v>17158</v>
      </c>
      <c r="C8" s="153">
        <f>C6+C7</f>
        <v>17148</v>
      </c>
      <c r="D8" s="113">
        <f>D6+D7</f>
        <v>15267</v>
      </c>
      <c r="F8" s="114"/>
      <c r="G8" s="114"/>
      <c r="H8" s="186">
        <f>D8*(1+H22)</f>
        <v>15267</v>
      </c>
      <c r="I8" s="186">
        <f>H8*(1+I22)</f>
        <v>15572.34</v>
      </c>
      <c r="K8" s="46"/>
      <c r="L8" s="114"/>
      <c r="M8" s="114"/>
    </row>
    <row r="9" spans="1:29" ht="13.5" customHeight="1">
      <c r="A9" s="83" t="s">
        <v>29</v>
      </c>
      <c r="B9" s="116">
        <f>B5-B8</f>
        <v>5947</v>
      </c>
      <c r="C9" s="128">
        <f>C5-C8</f>
        <v>6058</v>
      </c>
      <c r="D9" s="116">
        <f>D5-D8</f>
        <v>5616</v>
      </c>
      <c r="F9" s="1"/>
      <c r="G9" s="1"/>
      <c r="H9" s="185">
        <f>H5-H8</f>
        <v>6947.2252499999995</v>
      </c>
      <c r="I9" s="185">
        <f>I5-I8</f>
        <v>7752.5965125000002</v>
      </c>
      <c r="K9" s="62"/>
      <c r="L9" s="114"/>
      <c r="M9" s="114"/>
    </row>
    <row r="10" spans="1:29" ht="13.5" customHeight="1">
      <c r="A10" s="117" t="s">
        <v>15</v>
      </c>
      <c r="B10" s="113">
        <v>6264</v>
      </c>
      <c r="C10" s="153">
        <v>4126</v>
      </c>
      <c r="D10" s="113">
        <v>3334</v>
      </c>
      <c r="F10" s="1"/>
      <c r="G10" s="1"/>
      <c r="H10" s="186">
        <f>D10</f>
        <v>3334</v>
      </c>
      <c r="I10" s="186">
        <f>H10</f>
        <v>3334</v>
      </c>
      <c r="K10" s="62"/>
      <c r="L10" s="114"/>
      <c r="M10" s="114"/>
    </row>
    <row r="11" spans="1:29" ht="13.5" customHeight="1">
      <c r="A11" s="83" t="s">
        <v>16</v>
      </c>
      <c r="B11" s="112">
        <f>B9-B10</f>
        <v>-317</v>
      </c>
      <c r="C11" s="112">
        <f>C9-C10</f>
        <v>1932</v>
      </c>
      <c r="D11" s="112">
        <f>D9-D10</f>
        <v>2282</v>
      </c>
      <c r="F11" s="1"/>
      <c r="G11" s="1"/>
      <c r="H11" s="185">
        <f>H9-H10</f>
        <v>3613.2252499999995</v>
      </c>
      <c r="I11" s="185">
        <f>I9-I10</f>
        <v>4418.5965125000002</v>
      </c>
      <c r="K11" s="62"/>
      <c r="L11" s="114"/>
      <c r="M11" s="114"/>
    </row>
    <row r="12" spans="1:29" ht="13.5" customHeight="1">
      <c r="A12" s="149" t="s">
        <v>252</v>
      </c>
      <c r="B12" s="113">
        <f>2762+49+173-32+43</f>
        <v>2995</v>
      </c>
      <c r="C12" s="113">
        <f>1321-114+18+94+224</f>
        <v>1543</v>
      </c>
      <c r="D12" s="113">
        <f>642+142+61+31+214</f>
        <v>1090</v>
      </c>
      <c r="F12" s="1"/>
      <c r="G12" s="1"/>
      <c r="H12" s="186">
        <v>1500</v>
      </c>
      <c r="I12" s="186">
        <v>1500</v>
      </c>
      <c r="K12" s="62"/>
      <c r="L12" s="114"/>
      <c r="M12" s="114"/>
    </row>
    <row r="13" spans="1:29" ht="13.5" customHeight="1">
      <c r="A13" s="156" t="s">
        <v>17</v>
      </c>
      <c r="B13" s="112">
        <f>B11+B12</f>
        <v>2678</v>
      </c>
      <c r="C13" s="152">
        <f>C11+C12</f>
        <v>3475</v>
      </c>
      <c r="D13" s="112">
        <f>D11+D12</f>
        <v>3372</v>
      </c>
      <c r="F13" s="1"/>
      <c r="G13" s="1"/>
      <c r="H13" s="131">
        <f>H11+H12</f>
        <v>5113.2252499999995</v>
      </c>
      <c r="I13" s="131">
        <f>I11+I12</f>
        <v>5918.5965125000002</v>
      </c>
      <c r="K13" s="62"/>
      <c r="L13" s="114"/>
      <c r="M13" s="114"/>
    </row>
    <row r="14" spans="1:29" ht="13.5" customHeight="1">
      <c r="A14" s="155" t="s">
        <v>149</v>
      </c>
      <c r="B14" s="116">
        <v>781</v>
      </c>
      <c r="C14" s="128">
        <v>849</v>
      </c>
      <c r="D14" s="116">
        <v>867</v>
      </c>
      <c r="F14" s="1"/>
      <c r="G14" s="1"/>
      <c r="H14" s="185">
        <f>0.25*H13</f>
        <v>1278.3063124999999</v>
      </c>
      <c r="I14" s="185">
        <f>0.25*I13</f>
        <v>1479.6491281250001</v>
      </c>
      <c r="K14" s="62"/>
      <c r="L14" s="114"/>
      <c r="M14" s="114"/>
    </row>
    <row r="15" spans="1:29" ht="13.5" customHeight="1">
      <c r="A15" s="147" t="s">
        <v>148</v>
      </c>
      <c r="B15" s="113">
        <v>191</v>
      </c>
      <c r="C15" s="153">
        <v>-29</v>
      </c>
      <c r="D15" s="113">
        <v>-60</v>
      </c>
      <c r="F15" s="1"/>
      <c r="G15" s="1"/>
      <c r="H15" s="186"/>
      <c r="I15" s="186"/>
      <c r="K15" s="62"/>
      <c r="L15" s="114"/>
      <c r="M15" s="114"/>
    </row>
    <row r="16" spans="1:29" ht="13.5" customHeight="1">
      <c r="A16" s="82" t="s">
        <v>18</v>
      </c>
      <c r="B16" s="113">
        <f>B13-B14+B15</f>
        <v>2088</v>
      </c>
      <c r="C16" s="113">
        <f>C13-C14+C15</f>
        <v>2597</v>
      </c>
      <c r="D16" s="113">
        <f>D13-D14+D15</f>
        <v>2445</v>
      </c>
      <c r="F16" s="1"/>
      <c r="G16" s="1"/>
      <c r="H16" s="185">
        <f>H13-H14</f>
        <v>3834.9189374999996</v>
      </c>
      <c r="I16" s="185">
        <f>I13-I14</f>
        <v>4438.9473843750002</v>
      </c>
      <c r="K16" s="62"/>
      <c r="L16" s="114"/>
      <c r="M16" s="114"/>
    </row>
    <row r="17" spans="1:13" ht="13.5" customHeight="1">
      <c r="B17" s="141"/>
      <c r="C17" s="141"/>
      <c r="D17" s="141"/>
      <c r="K17" s="29"/>
    </row>
    <row r="18" spans="1:13" ht="13.5" customHeight="1" thickBot="1">
      <c r="A18" s="96" t="s">
        <v>211</v>
      </c>
      <c r="B18" s="157"/>
      <c r="C18" s="118"/>
      <c r="D18" s="119"/>
      <c r="E18" s="98"/>
      <c r="H18" s="226"/>
      <c r="I18" s="227" t="s">
        <v>197</v>
      </c>
      <c r="K18" s="150"/>
      <c r="L18" s="114"/>
      <c r="M18" s="114"/>
    </row>
    <row r="19" spans="1:13" ht="13.5" customHeight="1">
      <c r="A19" s="90" t="s">
        <v>212</v>
      </c>
      <c r="B19" s="119" t="s">
        <v>147</v>
      </c>
      <c r="C19" s="119">
        <f>C3/B3-1</f>
        <v>-3.4298850574712603E-2</v>
      </c>
      <c r="D19" s="119">
        <f>D3/C3-1</f>
        <v>-0.11644210626547324</v>
      </c>
      <c r="E19" s="98"/>
      <c r="F19" s="98"/>
      <c r="G19" s="98"/>
      <c r="H19" s="228">
        <v>0.05</v>
      </c>
      <c r="I19" s="228">
        <v>0.05</v>
      </c>
      <c r="K19" s="66"/>
      <c r="L19" s="114"/>
      <c r="M19" s="114"/>
    </row>
    <row r="20" spans="1:13" ht="13.5" customHeight="1">
      <c r="A20" s="17" t="s">
        <v>213</v>
      </c>
      <c r="B20" s="165">
        <f>B5/B3</f>
        <v>0.26557471264367816</v>
      </c>
      <c r="C20" s="165">
        <f>C5/C3</f>
        <v>0.2762092934679109</v>
      </c>
      <c r="D20" s="165">
        <f>D5/D3</f>
        <v>0.2813169345169938</v>
      </c>
      <c r="E20" s="98"/>
      <c r="F20" s="98"/>
      <c r="G20" s="98"/>
      <c r="H20" s="229">
        <v>0.28499999999999998</v>
      </c>
      <c r="I20" s="229">
        <v>0.28499999999999998</v>
      </c>
      <c r="K20" s="66"/>
      <c r="L20" s="114"/>
      <c r="M20" s="114"/>
    </row>
    <row r="21" spans="1:13" ht="13.5" customHeight="1">
      <c r="A21" s="17" t="s">
        <v>157</v>
      </c>
      <c r="B21" s="166">
        <f>B8/B3</f>
        <v>0.19721839080459769</v>
      </c>
      <c r="C21" s="166">
        <f>C8/C3</f>
        <v>0.20410398019424872</v>
      </c>
      <c r="D21" s="166">
        <f>D8/D3</f>
        <v>0.20566324949820161</v>
      </c>
      <c r="E21" s="98"/>
      <c r="F21" s="98"/>
      <c r="G21" s="98"/>
      <c r="H21" s="120">
        <f>H8/H3</f>
        <v>0.19586976142685866</v>
      </c>
      <c r="I21" s="120">
        <f>I8/I3</f>
        <v>0.19027348252894841</v>
      </c>
      <c r="K21" s="66"/>
      <c r="L21" s="114"/>
      <c r="M21" s="114"/>
    </row>
    <row r="22" spans="1:13" ht="13.5" customHeight="1">
      <c r="A22" s="56" t="s">
        <v>158</v>
      </c>
      <c r="B22" s="119" t="s">
        <v>147</v>
      </c>
      <c r="C22" s="120">
        <f>C8/B8-1</f>
        <v>-5.8281851031594112E-4</v>
      </c>
      <c r="D22" s="120">
        <f>D8/C8-1</f>
        <v>-0.10969209237228827</v>
      </c>
      <c r="E22" s="98"/>
      <c r="F22" s="98"/>
      <c r="G22" s="98"/>
      <c r="H22" s="228">
        <v>0</v>
      </c>
      <c r="I22" s="228">
        <v>0.02</v>
      </c>
      <c r="K22" s="66"/>
      <c r="L22" s="114"/>
      <c r="M22" s="114"/>
    </row>
    <row r="23" spans="1:13" ht="13.5" customHeight="1">
      <c r="A23" s="90" t="s">
        <v>34</v>
      </c>
      <c r="B23" s="165">
        <f>B9/B3</f>
        <v>6.8356321839080456E-2</v>
      </c>
      <c r="C23" s="165">
        <f>C9/C3</f>
        <v>7.2105313273662153E-2</v>
      </c>
      <c r="D23" s="165">
        <f>D9/D3</f>
        <v>7.5653685018792174E-2</v>
      </c>
      <c r="E23" s="98"/>
      <c r="F23" s="98"/>
      <c r="G23" s="98"/>
      <c r="H23" s="165">
        <f>H9/H3</f>
        <v>8.9130238573141313E-2</v>
      </c>
      <c r="I23" s="165">
        <f>I9/I3</f>
        <v>9.4726517471051569E-2</v>
      </c>
      <c r="K23" s="114"/>
      <c r="L23" s="114"/>
      <c r="M23" s="114"/>
    </row>
    <row r="24" spans="1:13" ht="13.5" customHeight="1">
      <c r="A24" s="91" t="s">
        <v>214</v>
      </c>
      <c r="B24" s="121">
        <f>B16/B3</f>
        <v>2.4E-2</v>
      </c>
      <c r="C24" s="121">
        <f>C16/C3</f>
        <v>3.0910778899257283E-2</v>
      </c>
      <c r="D24" s="121">
        <f>D16/D3</f>
        <v>3.29368340226045E-2</v>
      </c>
      <c r="E24" s="98"/>
      <c r="F24" s="98"/>
      <c r="G24" s="98"/>
      <c r="H24" s="165">
        <f>H16/H3</f>
        <v>4.9200540864575044E-2</v>
      </c>
      <c r="I24" s="165">
        <f>I16/I3</f>
        <v>5.4238089945878261E-2</v>
      </c>
      <c r="K24" s="114"/>
      <c r="L24" s="114"/>
      <c r="M24" s="114"/>
    </row>
    <row r="25" spans="1:13" ht="13.5" customHeight="1">
      <c r="A25" s="90" t="s">
        <v>215</v>
      </c>
      <c r="B25" s="166">
        <f>B16/B44</f>
        <v>8.110627719080174E-2</v>
      </c>
      <c r="C25" s="166">
        <f>C16/C44</f>
        <v>0.12098765432098765</v>
      </c>
      <c r="D25" s="166">
        <f>D16/D44</f>
        <v>0.11162344777209642</v>
      </c>
      <c r="E25" s="98"/>
      <c r="F25" s="98"/>
      <c r="G25" s="98"/>
      <c r="H25" s="120">
        <f>H16/D58</f>
        <v>0.15749800556491025</v>
      </c>
      <c r="I25" s="120">
        <f>I16/H58</f>
        <v>0.16635290321380666</v>
      </c>
      <c r="K25" s="66"/>
      <c r="L25" s="114"/>
      <c r="M25" s="114"/>
    </row>
    <row r="26" spans="1:13" ht="13.5" customHeight="1">
      <c r="A26" s="90" t="s">
        <v>297</v>
      </c>
      <c r="B26" s="120">
        <f>B11/B55</f>
        <v>-4.0348242242191279E-3</v>
      </c>
      <c r="C26" s="120">
        <f>C11/C55</f>
        <v>2.8151364583485116E-2</v>
      </c>
      <c r="D26" s="120">
        <f>D11/D55</f>
        <v>3.3396262311396002E-2</v>
      </c>
      <c r="E26" s="98"/>
      <c r="F26" s="98"/>
      <c r="G26" s="98"/>
      <c r="H26" s="120">
        <f>H11/H55</f>
        <v>5.4415090247855215E-2</v>
      </c>
      <c r="I26" s="120">
        <f>I11/I55</f>
        <v>6.5581679378436258E-2</v>
      </c>
      <c r="K26" s="151"/>
      <c r="L26" s="114"/>
      <c r="M26" s="114"/>
    </row>
    <row r="27" spans="1:13" ht="13.5" customHeight="1">
      <c r="A27" s="90" t="s">
        <v>216</v>
      </c>
      <c r="B27" s="122">
        <f>B16+B10</f>
        <v>8352</v>
      </c>
      <c r="C27" s="122">
        <f>C16+C10</f>
        <v>6723</v>
      </c>
      <c r="D27" s="122">
        <f>D16+D10</f>
        <v>5779</v>
      </c>
      <c r="E27" s="98"/>
      <c r="F27" s="98"/>
      <c r="G27" s="98"/>
      <c r="H27" s="134">
        <f>H16+H10</f>
        <v>7168.9189374999996</v>
      </c>
      <c r="I27" s="134">
        <f>I16+I10</f>
        <v>7772.9473843750002</v>
      </c>
      <c r="K27" s="66"/>
      <c r="L27" s="114"/>
      <c r="M27" s="114"/>
    </row>
    <row r="28" spans="1:13" ht="13.5" customHeight="1">
      <c r="A28" s="90"/>
      <c r="B28" s="123"/>
      <c r="C28" s="123"/>
      <c r="D28" s="123"/>
      <c r="E28" s="98"/>
      <c r="F28" s="98"/>
      <c r="G28" s="98"/>
      <c r="H28" s="168"/>
      <c r="I28" s="168"/>
      <c r="K28" s="66"/>
      <c r="L28" s="114"/>
      <c r="M28" s="114"/>
    </row>
    <row r="29" spans="1:13" ht="13.5" customHeight="1">
      <c r="B29" s="124"/>
      <c r="C29" s="124"/>
      <c r="D29" s="124"/>
    </row>
    <row r="30" spans="1:13" ht="17.25" customHeight="1" thickBot="1">
      <c r="A30" s="3" t="s">
        <v>187</v>
      </c>
      <c r="B30" s="174">
        <f>B2</f>
        <v>2008</v>
      </c>
      <c r="C30" s="174">
        <f>C2</f>
        <v>2009</v>
      </c>
      <c r="D30" s="174">
        <f>D2</f>
        <v>2010</v>
      </c>
      <c r="E30" s="175"/>
      <c r="F30" s="231" t="s">
        <v>183</v>
      </c>
      <c r="G30" s="170"/>
    </row>
    <row r="31" spans="1:13" ht="13.5" customHeight="1">
      <c r="A31" s="81" t="s">
        <v>20</v>
      </c>
      <c r="B31" s="112">
        <f>7802+791</f>
        <v>8593</v>
      </c>
      <c r="C31" s="112">
        <f>11196+399</f>
        <v>11595</v>
      </c>
      <c r="D31" s="112">
        <f>12149+650</f>
        <v>12799</v>
      </c>
      <c r="F31" s="159">
        <f>D31-B31</f>
        <v>4206</v>
      </c>
      <c r="G31" s="159"/>
    </row>
    <row r="32" spans="1:13" ht="13.5" customHeight="1">
      <c r="A32" s="87" t="s">
        <v>21</v>
      </c>
      <c r="B32" s="116">
        <f>17734+1113+10167</f>
        <v>29014</v>
      </c>
      <c r="C32" s="116">
        <f>15230+1212+5353</f>
        <v>21795</v>
      </c>
      <c r="D32" s="116">
        <v>20324</v>
      </c>
      <c r="F32" s="159">
        <f>D32-B32</f>
        <v>-8690</v>
      </c>
      <c r="G32" s="159"/>
      <c r="K32" s="110">
        <v>20324</v>
      </c>
    </row>
    <row r="33" spans="1:11" ht="13.5" customHeight="1">
      <c r="A33" s="87" t="s">
        <v>22</v>
      </c>
      <c r="B33" s="116">
        <v>13406</v>
      </c>
      <c r="C33" s="116">
        <v>10672</v>
      </c>
      <c r="D33" s="116">
        <v>10366</v>
      </c>
      <c r="F33" s="159">
        <f>D33-B33</f>
        <v>-3040</v>
      </c>
      <c r="G33" s="159"/>
      <c r="K33" s="110">
        <v>10366</v>
      </c>
    </row>
    <row r="34" spans="1:11" ht="13.5" customHeight="1">
      <c r="A34" s="188" t="s">
        <v>253</v>
      </c>
      <c r="B34" s="112">
        <f>SUM(B31:B33)</f>
        <v>51013</v>
      </c>
      <c r="C34" s="112">
        <f>SUM(C31:C33)</f>
        <v>44062</v>
      </c>
      <c r="D34" s="112">
        <f>SUM(D31:D33)</f>
        <v>43489</v>
      </c>
      <c r="F34" s="159"/>
      <c r="G34" s="159"/>
    </row>
    <row r="35" spans="1:11" ht="13.5" customHeight="1">
      <c r="A35" s="189" t="s">
        <v>254</v>
      </c>
      <c r="B35" s="113">
        <f>90118-51013</f>
        <v>39105</v>
      </c>
      <c r="C35" s="113">
        <f>77939-44062</f>
        <v>33877</v>
      </c>
      <c r="D35" s="113">
        <f>77605-43489</f>
        <v>34116</v>
      </c>
      <c r="F35" s="159">
        <f>D35-B35</f>
        <v>-4989</v>
      </c>
      <c r="G35" s="159"/>
    </row>
    <row r="36" spans="1:11" ht="13.5" customHeight="1">
      <c r="A36" s="189" t="s">
        <v>219</v>
      </c>
      <c r="B36" s="126">
        <f>B34+B35</f>
        <v>90118</v>
      </c>
      <c r="C36" s="126">
        <f>C34+C35</f>
        <v>77939</v>
      </c>
      <c r="D36" s="126">
        <f>D34+D35</f>
        <v>77605</v>
      </c>
      <c r="F36" s="159"/>
      <c r="G36" s="159"/>
    </row>
    <row r="37" spans="1:11" ht="13.5" customHeight="1">
      <c r="B37" s="108" t="s">
        <v>4</v>
      </c>
      <c r="F37" s="160"/>
      <c r="G37" s="160"/>
    </row>
    <row r="38" spans="1:11" ht="13.5" customHeight="1">
      <c r="A38" s="3" t="s">
        <v>36</v>
      </c>
      <c r="D38" s="127"/>
      <c r="F38" s="160"/>
      <c r="G38" s="160"/>
    </row>
    <row r="39" spans="1:11" ht="13.5" customHeight="1">
      <c r="A39" s="81" t="s">
        <v>23</v>
      </c>
      <c r="B39" s="112">
        <v>10798</v>
      </c>
      <c r="C39" s="112">
        <v>8649</v>
      </c>
      <c r="D39" s="112">
        <v>8404</v>
      </c>
      <c r="F39" s="159">
        <f>D39-B39</f>
        <v>-2394</v>
      </c>
      <c r="G39" s="159"/>
      <c r="K39" s="110">
        <v>8404</v>
      </c>
    </row>
    <row r="40" spans="1:11" ht="13.5" customHeight="1">
      <c r="A40" s="19" t="s">
        <v>220</v>
      </c>
      <c r="B40" s="116">
        <v>754</v>
      </c>
      <c r="C40" s="116">
        <v>661</v>
      </c>
      <c r="D40" s="116">
        <v>870</v>
      </c>
      <c r="F40" s="159">
        <f>D40-B40</f>
        <v>116</v>
      </c>
      <c r="G40" s="159"/>
    </row>
    <row r="41" spans="1:11" ht="13.5" customHeight="1">
      <c r="A41" s="82" t="s">
        <v>24</v>
      </c>
      <c r="B41" s="116">
        <f>2637+10864+19471</f>
        <v>32972</v>
      </c>
      <c r="C41" s="116">
        <f>2103+9608+13691</f>
        <v>25402</v>
      </c>
      <c r="D41" s="116">
        <f>1745+8884+12125</f>
        <v>22754</v>
      </c>
      <c r="F41" s="159">
        <f>D41-B41</f>
        <v>-10218</v>
      </c>
      <c r="G41" s="159"/>
    </row>
    <row r="42" spans="1:11" ht="13.5" customHeight="1">
      <c r="A42" s="188" t="s">
        <v>221</v>
      </c>
      <c r="B42" s="112">
        <f>B39+B40+B41</f>
        <v>44524</v>
      </c>
      <c r="C42" s="112">
        <f>C39+C40+C41</f>
        <v>34712</v>
      </c>
      <c r="D42" s="112">
        <f>D39+D40+D41</f>
        <v>32028</v>
      </c>
      <c r="F42" s="159"/>
      <c r="G42" s="159"/>
    </row>
    <row r="43" spans="1:11" ht="13.5" customHeight="1">
      <c r="A43" s="87" t="s">
        <v>25</v>
      </c>
      <c r="B43" s="116">
        <f>9973+4721+111+2957</f>
        <v>17762</v>
      </c>
      <c r="C43" s="116">
        <f>10243+5326+195+3401</f>
        <v>19165</v>
      </c>
      <c r="D43" s="116">
        <f>11433+5843+534+3418</f>
        <v>21228</v>
      </c>
      <c r="F43" s="159">
        <f>D43-B43</f>
        <v>3466</v>
      </c>
      <c r="G43" s="159"/>
    </row>
    <row r="44" spans="1:11" ht="13.5" customHeight="1">
      <c r="A44" s="106" t="s">
        <v>223</v>
      </c>
      <c r="B44" s="116">
        <f>23812+4020-2088</f>
        <v>25744</v>
      </c>
      <c r="C44" s="116">
        <f>23521+541-2597</f>
        <v>21465</v>
      </c>
      <c r="D44" s="116">
        <f>23715-2445+634</f>
        <v>21904</v>
      </c>
      <c r="F44" s="159">
        <f>D44-B44</f>
        <v>-3840</v>
      </c>
      <c r="G44" s="159"/>
    </row>
    <row r="45" spans="1:11" ht="13.5" customHeight="1">
      <c r="A45" s="189" t="s">
        <v>224</v>
      </c>
      <c r="B45" s="113">
        <f>B16</f>
        <v>2088</v>
      </c>
      <c r="C45" s="113">
        <f>C16</f>
        <v>2597</v>
      </c>
      <c r="D45" s="113">
        <f>D16</f>
        <v>2445</v>
      </c>
      <c r="F45" s="159">
        <f>D45-B45</f>
        <v>357</v>
      </c>
      <c r="G45" s="159"/>
    </row>
    <row r="46" spans="1:11" ht="13.5" customHeight="1">
      <c r="A46" s="93" t="s">
        <v>26</v>
      </c>
      <c r="B46" s="126">
        <f>B42+B43+B44+B45</f>
        <v>90118</v>
      </c>
      <c r="C46" s="126">
        <f>C42+C43+C44+C45</f>
        <v>77939</v>
      </c>
      <c r="D46" s="126">
        <f>D42+D43+D44+D45</f>
        <v>77605</v>
      </c>
    </row>
    <row r="47" spans="1:11" ht="13.5" customHeight="1">
      <c r="A47" s="94"/>
      <c r="B47" s="128"/>
      <c r="C47" s="128"/>
      <c r="D47" s="128"/>
    </row>
    <row r="48" spans="1:11" ht="13.5" customHeight="1">
      <c r="A48" s="88" t="s">
        <v>19</v>
      </c>
      <c r="B48" s="129">
        <f>B4</f>
        <v>63895</v>
      </c>
      <c r="C48" s="129">
        <f>C4+(C33-B33)</f>
        <v>58076</v>
      </c>
      <c r="D48" s="129">
        <f>D4+(D33-C33)</f>
        <v>53044</v>
      </c>
    </row>
    <row r="49" spans="1:9" ht="13.5" customHeight="1">
      <c r="A49" s="224" t="s">
        <v>255</v>
      </c>
      <c r="B49" s="129"/>
      <c r="C49" s="129">
        <f>C35-B35+C10</f>
        <v>-1102</v>
      </c>
      <c r="D49" s="129">
        <f>D35-C35+D10</f>
        <v>3573</v>
      </c>
      <c r="F49" t="s">
        <v>260</v>
      </c>
    </row>
    <row r="50" spans="1:9" ht="13.5" customHeight="1">
      <c r="A50" s="95"/>
      <c r="B50" s="129"/>
      <c r="C50" s="129"/>
      <c r="D50" s="129"/>
      <c r="F50" s="130"/>
      <c r="G50" s="130"/>
      <c r="H50" s="182" t="s">
        <v>185</v>
      </c>
      <c r="I50" s="182" t="s">
        <v>185</v>
      </c>
    </row>
    <row r="51" spans="1:9" ht="18.75" customHeight="1" thickBot="1">
      <c r="A51" s="179" t="s">
        <v>226</v>
      </c>
      <c r="B51" s="177">
        <f t="shared" ref="B51:D52" si="0">B30</f>
        <v>2008</v>
      </c>
      <c r="C51" s="177">
        <f t="shared" si="0"/>
        <v>2009</v>
      </c>
      <c r="D51" s="177">
        <f t="shared" si="0"/>
        <v>2010</v>
      </c>
      <c r="E51" s="172"/>
      <c r="F51" s="178" t="s">
        <v>183</v>
      </c>
      <c r="G51" s="169"/>
      <c r="H51" s="183">
        <f>D30+1</f>
        <v>2011</v>
      </c>
      <c r="I51" s="183">
        <f>H51+1</f>
        <v>2012</v>
      </c>
    </row>
    <row r="52" spans="1:9" ht="13.5" customHeight="1">
      <c r="A52" s="90" t="s">
        <v>256</v>
      </c>
      <c r="B52" s="131">
        <f t="shared" si="0"/>
        <v>8593</v>
      </c>
      <c r="C52" s="131">
        <f t="shared" si="0"/>
        <v>11595</v>
      </c>
      <c r="D52" s="131">
        <f t="shared" si="0"/>
        <v>12799</v>
      </c>
      <c r="E52" s="98"/>
      <c r="F52" s="159">
        <f>D52-B52</f>
        <v>4206</v>
      </c>
      <c r="G52" s="159"/>
      <c r="H52" s="159">
        <f>D52</f>
        <v>12799</v>
      </c>
      <c r="I52" s="159">
        <f>H52</f>
        <v>12799</v>
      </c>
    </row>
    <row r="53" spans="1:9" ht="13.5" customHeight="1">
      <c r="A53" s="97" t="s">
        <v>258</v>
      </c>
      <c r="B53" s="131">
        <f>B32+B33-B39-B40</f>
        <v>30868</v>
      </c>
      <c r="C53" s="131">
        <f>C32+C33-C39-C40</f>
        <v>23157</v>
      </c>
      <c r="D53" s="131">
        <f>D32+D33-D39-D40</f>
        <v>21416</v>
      </c>
      <c r="E53" s="98"/>
      <c r="F53" s="159">
        <f>D53-B53</f>
        <v>-9452</v>
      </c>
      <c r="G53" s="159"/>
      <c r="H53" s="159">
        <f>H72*H3</f>
        <v>19486.162500000002</v>
      </c>
      <c r="I53" s="159">
        <f>I72*I3</f>
        <v>20460.470625000002</v>
      </c>
    </row>
    <row r="54" spans="1:9" ht="13.5" customHeight="1">
      <c r="A54" s="97" t="s">
        <v>257</v>
      </c>
      <c r="B54" s="132">
        <f>B35</f>
        <v>39105</v>
      </c>
      <c r="C54" s="132">
        <f>C35</f>
        <v>33877</v>
      </c>
      <c r="D54" s="132">
        <f>D35</f>
        <v>34116</v>
      </c>
      <c r="E54" s="98"/>
      <c r="F54" s="159">
        <f>D54-B54</f>
        <v>-4989</v>
      </c>
      <c r="G54" s="159"/>
      <c r="H54" s="181">
        <f>D54</f>
        <v>34116</v>
      </c>
      <c r="I54" s="181">
        <f>H54</f>
        <v>34116</v>
      </c>
    </row>
    <row r="55" spans="1:9" ht="13.5" customHeight="1">
      <c r="A55" s="97" t="s">
        <v>229</v>
      </c>
      <c r="B55" s="131">
        <f>B52+B53+B54</f>
        <v>78566</v>
      </c>
      <c r="C55" s="131">
        <f>C52+C53+C54</f>
        <v>68629</v>
      </c>
      <c r="D55" s="131">
        <f>D52+D53+D54</f>
        <v>68331</v>
      </c>
      <c r="E55" s="98"/>
      <c r="F55" s="159"/>
      <c r="G55" s="159"/>
      <c r="H55" s="180">
        <f>H52+H53+H54</f>
        <v>66401.162500000006</v>
      </c>
      <c r="I55" s="180">
        <f>I52+I53+I54</f>
        <v>67375.470625000002</v>
      </c>
    </row>
    <row r="56" spans="1:9" ht="13.5" customHeight="1">
      <c r="A56" s="97"/>
      <c r="B56" s="131"/>
      <c r="C56" s="131"/>
      <c r="D56" s="131"/>
      <c r="E56" s="98"/>
      <c r="F56" s="159"/>
      <c r="G56" s="159"/>
      <c r="H56" s="159"/>
      <c r="I56" s="159"/>
    </row>
    <row r="57" spans="1:9" ht="13.5" customHeight="1">
      <c r="A57" s="97" t="s">
        <v>146</v>
      </c>
      <c r="B57" s="131">
        <f>B41+B43</f>
        <v>50734</v>
      </c>
      <c r="C57" s="131">
        <f>C41+C43</f>
        <v>44567</v>
      </c>
      <c r="D57" s="131">
        <f>D41+D43</f>
        <v>43982</v>
      </c>
      <c r="E57" s="98"/>
      <c r="F57" s="159">
        <f>D57-B57</f>
        <v>-6752</v>
      </c>
      <c r="G57" s="159"/>
      <c r="H57" s="159">
        <f>H55-H58</f>
        <v>39717.243562500007</v>
      </c>
      <c r="I57" s="159">
        <f>I55-I58</f>
        <v>37752.604303125001</v>
      </c>
    </row>
    <row r="58" spans="1:9" ht="13.5" customHeight="1">
      <c r="A58" s="97" t="s">
        <v>28</v>
      </c>
      <c r="B58" s="132">
        <f>B44+B45</f>
        <v>27832</v>
      </c>
      <c r="C58" s="132">
        <f>C44+C45</f>
        <v>24062</v>
      </c>
      <c r="D58" s="132">
        <f>D44+D45</f>
        <v>24349</v>
      </c>
      <c r="E58" s="98"/>
      <c r="F58" s="159">
        <f>D58-B58</f>
        <v>-3483</v>
      </c>
      <c r="G58" s="159"/>
      <c r="H58" s="181">
        <f>D58-1500+H16</f>
        <v>26683.918937499999</v>
      </c>
      <c r="I58" s="181">
        <f>H58-1500+I16</f>
        <v>29622.866321875001</v>
      </c>
    </row>
    <row r="59" spans="1:9" ht="13.5" customHeight="1">
      <c r="A59" s="97" t="s">
        <v>230</v>
      </c>
      <c r="B59" s="131">
        <f>B57+B58</f>
        <v>78566</v>
      </c>
      <c r="C59" s="131">
        <f>C57+C58</f>
        <v>68629</v>
      </c>
      <c r="D59" s="131">
        <f>D57+D58</f>
        <v>68331</v>
      </c>
      <c r="E59" s="98"/>
      <c r="F59" s="159"/>
      <c r="G59" s="159"/>
      <c r="H59" s="180">
        <f>H57+H58</f>
        <v>66401.162500000006</v>
      </c>
      <c r="I59" s="180">
        <f>I57+I58</f>
        <v>67375.470625000002</v>
      </c>
    </row>
    <row r="60" spans="1:9" ht="13.5" customHeight="1">
      <c r="A60" s="97"/>
      <c r="B60" s="131"/>
      <c r="C60" s="131"/>
      <c r="D60" s="131"/>
      <c r="E60" s="98"/>
      <c r="F60" s="159"/>
      <c r="G60" s="159"/>
      <c r="H60" s="148"/>
      <c r="I60" s="148"/>
    </row>
    <row r="61" spans="1:9" ht="13.5" customHeight="1" thickBot="1">
      <c r="A61" s="96" t="s">
        <v>259</v>
      </c>
      <c r="B61" s="133"/>
      <c r="C61" s="133"/>
      <c r="D61" s="133"/>
      <c r="E61" s="98"/>
      <c r="F61" s="159"/>
      <c r="G61" s="159"/>
      <c r="H61" s="148"/>
      <c r="I61" s="148"/>
    </row>
    <row r="62" spans="1:9" ht="13.5" customHeight="1">
      <c r="A62" s="90" t="s">
        <v>27</v>
      </c>
      <c r="B62" s="134">
        <f>B53</f>
        <v>30868</v>
      </c>
      <c r="C62" s="134">
        <f>C53</f>
        <v>23157</v>
      </c>
      <c r="D62" s="134">
        <f>D53</f>
        <v>21416</v>
      </c>
      <c r="E62" s="98"/>
      <c r="F62" s="159">
        <f>D62-B62</f>
        <v>-9452</v>
      </c>
      <c r="G62" s="159"/>
      <c r="H62" s="148"/>
      <c r="I62" s="148"/>
    </row>
    <row r="63" spans="1:9" ht="13.5" customHeight="1">
      <c r="A63" s="90" t="s">
        <v>30</v>
      </c>
      <c r="B63" s="132">
        <f>B43+B44+B45-B35</f>
        <v>6489</v>
      </c>
      <c r="C63" s="132">
        <f>C43+C44+C45-C35</f>
        <v>9350</v>
      </c>
      <c r="D63" s="132">
        <f>D43+D44+D45-D35</f>
        <v>11461</v>
      </c>
      <c r="E63" s="98"/>
      <c r="F63" s="159">
        <f>D63-B63</f>
        <v>4972</v>
      </c>
      <c r="G63" s="159"/>
      <c r="H63" s="148"/>
      <c r="I63" s="148"/>
    </row>
    <row r="64" spans="1:9" ht="13.5" customHeight="1">
      <c r="A64" s="90" t="s">
        <v>233</v>
      </c>
      <c r="B64" s="131">
        <f>B63-B62</f>
        <v>-24379</v>
      </c>
      <c r="C64" s="131">
        <f>C63-C62</f>
        <v>-13807</v>
      </c>
      <c r="D64" s="131">
        <f>D63-D62</f>
        <v>-9955</v>
      </c>
      <c r="E64" s="98"/>
      <c r="F64" s="159">
        <f>D64-B64</f>
        <v>14424</v>
      </c>
      <c r="G64" s="159"/>
      <c r="H64" s="148"/>
      <c r="I64" s="148"/>
    </row>
    <row r="65" spans="1:9" ht="13.5" customHeight="1">
      <c r="A65" s="90" t="s">
        <v>37</v>
      </c>
      <c r="B65" s="134"/>
      <c r="C65" s="134"/>
      <c r="D65" s="134"/>
      <c r="E65" s="98"/>
      <c r="F65" s="98"/>
      <c r="G65" s="98"/>
      <c r="H65" s="125"/>
    </row>
    <row r="66" spans="1:9" ht="13.5" customHeight="1">
      <c r="A66" s="90" t="s">
        <v>184</v>
      </c>
      <c r="B66" s="134">
        <f>B31-B41</f>
        <v>-24379</v>
      </c>
      <c r="C66" s="134">
        <f>C31-C41</f>
        <v>-13807</v>
      </c>
      <c r="D66" s="134">
        <f>D31-D41</f>
        <v>-9955</v>
      </c>
      <c r="E66" s="98"/>
      <c r="H66" s="125"/>
      <c r="I66" s="99" t="s">
        <v>293</v>
      </c>
    </row>
    <row r="67" spans="1:9" ht="13.5" customHeight="1">
      <c r="B67" s="129"/>
      <c r="C67" s="129"/>
      <c r="D67" s="129"/>
      <c r="H67" s="125"/>
    </row>
    <row r="68" spans="1:9" ht="13.5" customHeight="1" thickBot="1">
      <c r="A68" s="96" t="s">
        <v>235</v>
      </c>
      <c r="H68" s="226"/>
      <c r="I68" s="227" t="s">
        <v>197</v>
      </c>
    </row>
    <row r="69" spans="1:9" ht="13.5" customHeight="1">
      <c r="A69" s="90" t="s">
        <v>38</v>
      </c>
      <c r="B69" s="134">
        <f>B32/B3*360</f>
        <v>120.05793103448276</v>
      </c>
      <c r="C69" s="134">
        <f>C32/C3*360</f>
        <v>93.389354408684056</v>
      </c>
      <c r="D69" s="134">
        <f>D32/D3*360</f>
        <v>98.563172712944365</v>
      </c>
    </row>
    <row r="70" spans="1:9" ht="13.5" customHeight="1">
      <c r="A70" s="90" t="s">
        <v>39</v>
      </c>
      <c r="B70" s="134">
        <f>(B33/B4)*360</f>
        <v>75.532670788011572</v>
      </c>
      <c r="C70" s="134">
        <f>(C33/C4)*360</f>
        <v>63.17908238776517</v>
      </c>
      <c r="D70" s="134">
        <f>(D33/D4)*360</f>
        <v>69.948641049671977</v>
      </c>
    </row>
    <row r="71" spans="1:9" ht="13.5" customHeight="1">
      <c r="A71" s="90" t="s">
        <v>40</v>
      </c>
      <c r="B71" s="134">
        <f>(B39/B4)*360</f>
        <v>60.838563267861332</v>
      </c>
      <c r="C71" s="134">
        <f>(C39/C4)*360</f>
        <v>51.202762703502721</v>
      </c>
      <c r="D71" s="134">
        <f>(D39/D4)*360</f>
        <v>56.709278350515469</v>
      </c>
    </row>
    <row r="72" spans="1:9" ht="13.5" customHeight="1">
      <c r="A72" s="90" t="s">
        <v>31</v>
      </c>
      <c r="B72" s="121">
        <f>B62/B3</f>
        <v>0.35480459770114942</v>
      </c>
      <c r="C72" s="121">
        <f>C62/C3</f>
        <v>0.27562607122452865</v>
      </c>
      <c r="D72" s="121">
        <f>D62/D3</f>
        <v>0.28849702962294399</v>
      </c>
      <c r="H72" s="230">
        <v>0.25</v>
      </c>
      <c r="I72" s="230">
        <v>0.25</v>
      </c>
    </row>
    <row r="73" spans="1:9" ht="13.5" customHeight="1">
      <c r="A73" s="90" t="s">
        <v>41</v>
      </c>
      <c r="B73" s="135">
        <f>(B42+B43)/B58</f>
        <v>2.2379275653923543</v>
      </c>
      <c r="C73" s="135">
        <f>(C42+C43)/C58</f>
        <v>2.2390906824037904</v>
      </c>
      <c r="D73" s="135">
        <f>(D42+D43)/D58</f>
        <v>2.1871945459772477</v>
      </c>
    </row>
    <row r="74" spans="1:9" ht="13.5" customHeight="1">
      <c r="A74" s="225" t="s">
        <v>269</v>
      </c>
      <c r="B74" s="135">
        <f>(B57-B52)/B9</f>
        <v>7.0860938288212543</v>
      </c>
      <c r="C74" s="135">
        <f>(C57-C52)/C9</f>
        <v>5.4427203697589963</v>
      </c>
      <c r="D74" s="135">
        <f>(D57-D52)/D9</f>
        <v>5.5525284900284904</v>
      </c>
      <c r="H74" s="184">
        <f>(H57-H52)/H9</f>
        <v>3.8746755134361028</v>
      </c>
      <c r="I74" s="184">
        <f>(I57-I52)/I9</f>
        <v>3.2187415226486675</v>
      </c>
    </row>
    <row r="75" spans="1:9" ht="13.5" customHeight="1">
      <c r="B75" s="136"/>
      <c r="C75" s="136"/>
      <c r="D75" s="136"/>
    </row>
    <row r="76" spans="1:9" ht="13.5" customHeight="1">
      <c r="A76" s="95"/>
      <c r="B76" s="129"/>
      <c r="D76" s="129"/>
    </row>
    <row r="77" spans="1:9" ht="13.5" customHeight="1">
      <c r="A77" s="95"/>
      <c r="B77" s="167"/>
      <c r="C77" s="167"/>
      <c r="D77" s="167"/>
    </row>
    <row r="78" spans="1:9" ht="13.5" customHeight="1">
      <c r="A78" s="95"/>
    </row>
    <row r="79" spans="1:9" ht="13.5" customHeight="1">
      <c r="A79" s="95"/>
      <c r="B79" s="137"/>
      <c r="C79" s="138"/>
      <c r="D79" s="138"/>
    </row>
    <row r="80" spans="1:9" ht="13.5" customHeight="1">
      <c r="A80" s="95"/>
      <c r="B80" s="139"/>
      <c r="C80" s="139"/>
      <c r="D80" s="139"/>
    </row>
    <row r="81" spans="1:4" ht="13.5" customHeight="1">
      <c r="A81" s="95"/>
      <c r="B81" s="139"/>
      <c r="C81" s="139"/>
      <c r="D81" s="139"/>
    </row>
    <row r="82" spans="1:4" ht="13.5" customHeight="1">
      <c r="A82" s="95"/>
      <c r="B82" s="140"/>
      <c r="C82" s="140"/>
      <c r="D82" s="140"/>
    </row>
    <row r="83" spans="1:4" ht="13.5" customHeight="1">
      <c r="A83" s="95"/>
      <c r="B83" s="110"/>
      <c r="C83" s="139"/>
      <c r="D83" s="139"/>
    </row>
    <row r="84" spans="1:4" ht="13.5" customHeight="1">
      <c r="B84" s="110"/>
      <c r="C84" s="141"/>
      <c r="D84" s="141"/>
    </row>
    <row r="85" spans="1:4" ht="13.5" customHeight="1">
      <c r="B85" s="139"/>
      <c r="C85" s="141"/>
      <c r="D85" s="141"/>
    </row>
    <row r="86" spans="1:4" ht="13.5" customHeight="1">
      <c r="B86" s="139"/>
      <c r="C86" s="141"/>
      <c r="D86" s="141"/>
    </row>
    <row r="87" spans="1:4" ht="13.5" customHeight="1">
      <c r="A87" s="95"/>
      <c r="B87" s="139"/>
      <c r="C87" s="141"/>
      <c r="D87" s="141"/>
    </row>
    <row r="88" spans="1:4" ht="13.5" customHeight="1">
      <c r="B88" s="142"/>
      <c r="C88" s="143"/>
      <c r="D88" s="143"/>
    </row>
    <row r="89" spans="1:4" ht="13.5" customHeight="1">
      <c r="B89" s="142"/>
      <c r="C89" s="143"/>
      <c r="D89" s="143"/>
    </row>
    <row r="90" spans="1:4" ht="13.5" customHeight="1">
      <c r="A90" s="95"/>
    </row>
    <row r="92" spans="1:4" ht="13.5" customHeight="1">
      <c r="A92" s="95"/>
      <c r="B92" s="127"/>
      <c r="C92" s="127"/>
      <c r="D92" s="127"/>
    </row>
    <row r="93" spans="1:4" ht="13.5" customHeight="1">
      <c r="A93" s="95"/>
      <c r="B93" s="127"/>
      <c r="C93" s="127"/>
      <c r="D93" s="127"/>
    </row>
    <row r="94" spans="1:4" ht="13.5" customHeight="1">
      <c r="B94" s="127"/>
      <c r="C94" s="127"/>
      <c r="D94" s="127"/>
    </row>
    <row r="95" spans="1:4" ht="13.5" customHeight="1">
      <c r="B95" s="127"/>
      <c r="C95" s="127"/>
      <c r="D95" s="127"/>
    </row>
    <row r="96" spans="1:4" ht="13.5" customHeight="1">
      <c r="B96" s="127"/>
      <c r="C96" s="127"/>
      <c r="D96" s="127"/>
    </row>
    <row r="97" spans="1:4" ht="13.5" customHeight="1">
      <c r="A97" s="95"/>
      <c r="B97" s="127"/>
      <c r="C97" s="127"/>
      <c r="D97" s="127"/>
    </row>
    <row r="98" spans="1:4" ht="13.5" customHeight="1">
      <c r="B98" s="127"/>
      <c r="C98" s="127"/>
      <c r="D98" s="127"/>
    </row>
    <row r="99" spans="1:4" ht="13.5" customHeight="1">
      <c r="B99" s="127"/>
      <c r="C99" s="127"/>
      <c r="D99" s="127"/>
    </row>
    <row r="100" spans="1:4" ht="13.5" customHeight="1">
      <c r="B100" s="127"/>
      <c r="C100" s="127"/>
      <c r="D100" s="127"/>
    </row>
    <row r="101" spans="1:4" ht="13.5" customHeight="1">
      <c r="A101" s="144"/>
      <c r="B101" s="127"/>
      <c r="C101" s="127"/>
      <c r="D101" s="127"/>
    </row>
    <row r="102" spans="1:4" ht="13.5" customHeight="1">
      <c r="B102" s="127"/>
      <c r="C102" s="127"/>
      <c r="D102" s="127"/>
    </row>
    <row r="103" spans="1:4" ht="13.5" customHeight="1">
      <c r="B103" s="127"/>
      <c r="C103" s="127"/>
      <c r="D103" s="127"/>
    </row>
    <row r="104" spans="1:4" ht="13.5" customHeight="1">
      <c r="A104" s="95"/>
    </row>
    <row r="105" spans="1:4" ht="13.5" customHeight="1">
      <c r="B105" s="110"/>
      <c r="C105" s="110"/>
      <c r="D105" s="110"/>
    </row>
    <row r="106" spans="1:4" ht="13.5" customHeight="1">
      <c r="B106" s="110"/>
      <c r="C106" s="110"/>
      <c r="D106" s="110"/>
    </row>
    <row r="107" spans="1:4" ht="13.5" customHeight="1">
      <c r="A107" s="95"/>
      <c r="B107" s="110"/>
      <c r="C107" s="110"/>
      <c r="D107" s="110"/>
    </row>
    <row r="108" spans="1:4" ht="13.5" customHeight="1">
      <c r="B108" s="110"/>
      <c r="C108" s="110"/>
      <c r="D108" s="110"/>
    </row>
    <row r="109" spans="1:4" ht="13.5" customHeight="1">
      <c r="A109" s="95"/>
      <c r="B109" s="110"/>
      <c r="C109" s="110"/>
      <c r="D109" s="110"/>
    </row>
    <row r="110" spans="1:4" ht="13.5" customHeight="1">
      <c r="A110" s="95"/>
      <c r="B110" s="110"/>
      <c r="C110" s="110"/>
      <c r="D110" s="110"/>
    </row>
    <row r="111" spans="1:4" ht="13.5" customHeight="1">
      <c r="A111" s="95"/>
      <c r="B111" s="110"/>
      <c r="C111" s="110"/>
      <c r="D111" s="110"/>
    </row>
    <row r="112" spans="1:4" ht="13.5" customHeight="1">
      <c r="B112" s="110"/>
      <c r="C112" s="110"/>
      <c r="D112" s="110"/>
    </row>
    <row r="113" spans="1:4" ht="13.5" customHeight="1">
      <c r="B113" s="110"/>
      <c r="C113" s="110"/>
      <c r="D113" s="110"/>
    </row>
    <row r="114" spans="1:4" ht="13.5" customHeight="1">
      <c r="B114" s="110"/>
      <c r="C114" s="110"/>
      <c r="D114" s="110"/>
    </row>
    <row r="115" spans="1:4" ht="13.5" customHeight="1">
      <c r="A115" s="95"/>
      <c r="B115" s="110"/>
      <c r="C115" s="110"/>
      <c r="D115" s="110"/>
    </row>
    <row r="116" spans="1:4" ht="13.5" customHeight="1">
      <c r="B116" s="110"/>
      <c r="C116" s="110"/>
      <c r="D116" s="110"/>
    </row>
    <row r="117" spans="1:4" ht="13.5" customHeight="1">
      <c r="B117" s="110"/>
      <c r="C117" s="110"/>
      <c r="D117" s="110"/>
    </row>
    <row r="118" spans="1:4" ht="13.5" customHeight="1">
      <c r="B118" s="124"/>
      <c r="C118" s="124"/>
      <c r="D118" s="128"/>
    </row>
    <row r="119" spans="1:4" ht="13.5" customHeight="1">
      <c r="B119" s="124"/>
      <c r="C119" s="124"/>
      <c r="D119" s="128"/>
    </row>
    <row r="120" spans="1:4" ht="13.5" customHeight="1">
      <c r="A120" s="95"/>
      <c r="B120" s="124"/>
      <c r="C120" s="124"/>
      <c r="D120" s="124"/>
    </row>
    <row r="122" spans="1:4" ht="13.5" customHeight="1">
      <c r="A122" s="95"/>
      <c r="B122" s="145"/>
      <c r="C122" s="145"/>
      <c r="D122" s="145"/>
    </row>
    <row r="123" spans="1:4" ht="13.5" customHeight="1">
      <c r="A123" s="110"/>
      <c r="B123" s="145"/>
      <c r="C123" s="145"/>
      <c r="D123" s="145"/>
    </row>
    <row r="124" spans="1:4" ht="13.5" customHeight="1">
      <c r="A124" s="110"/>
      <c r="B124" s="145"/>
      <c r="C124" s="145"/>
      <c r="D124" s="145"/>
    </row>
    <row r="125" spans="1:4" ht="13.5" customHeight="1">
      <c r="B125" s="145"/>
      <c r="C125" s="146"/>
      <c r="D125" s="146"/>
    </row>
    <row r="126" spans="1:4" ht="13.5" customHeight="1">
      <c r="B126" s="145"/>
      <c r="C126" s="146"/>
      <c r="D126" s="146"/>
    </row>
    <row r="127" spans="1:4" ht="13.5" customHeight="1">
      <c r="A127" s="95"/>
      <c r="C127" s="124"/>
      <c r="D127" s="124"/>
    </row>
    <row r="128" spans="1:4" ht="13.5" customHeight="1">
      <c r="C128" s="124"/>
      <c r="D128" s="124"/>
    </row>
    <row r="132" spans="2:4" ht="13.5" customHeight="1">
      <c r="B132" s="110"/>
      <c r="C132" s="110"/>
      <c r="D132" s="110"/>
    </row>
    <row r="133" spans="2:4" ht="13.5" customHeight="1">
      <c r="B133" s="110"/>
      <c r="C133" s="110"/>
      <c r="D133" s="110"/>
    </row>
    <row r="134" spans="2:4" ht="13.5" customHeight="1">
      <c r="B134" s="110"/>
      <c r="C134" s="110"/>
      <c r="D134" s="110"/>
    </row>
    <row r="135" spans="2:4" ht="13.5" customHeight="1">
      <c r="B135" s="110"/>
      <c r="C135" s="110"/>
      <c r="D135" s="110"/>
    </row>
    <row r="137" spans="2:4" ht="13.5" customHeight="1">
      <c r="B137" s="110"/>
      <c r="C137" s="110"/>
      <c r="D137" s="110"/>
    </row>
    <row r="138" spans="2:4" ht="13.5" customHeight="1">
      <c r="B138" s="110"/>
      <c r="C138" s="110"/>
      <c r="D138" s="110"/>
    </row>
    <row r="140" spans="2:4" ht="13.5" customHeight="1">
      <c r="B140" s="110"/>
      <c r="C140" s="110"/>
      <c r="D140" s="110"/>
    </row>
    <row r="141" spans="2:4" ht="13.5" customHeight="1">
      <c r="B141" s="110"/>
      <c r="C141" s="110"/>
      <c r="D141" s="110"/>
    </row>
    <row r="142" spans="2:4" ht="13.5" customHeight="1">
      <c r="B142" s="110"/>
      <c r="C142" s="110"/>
      <c r="D142" s="110"/>
    </row>
    <row r="144" spans="2:4" ht="13.5" customHeight="1">
      <c r="B144" s="110"/>
      <c r="C144" s="110"/>
      <c r="D144" s="110"/>
    </row>
    <row r="145" spans="2:4" ht="13.5" customHeight="1">
      <c r="B145" s="110"/>
      <c r="C145" s="110"/>
      <c r="D145" s="110"/>
    </row>
    <row r="146" spans="2:4" ht="13.5" customHeight="1">
      <c r="B146" s="110"/>
      <c r="C146" s="110"/>
      <c r="D146" s="110"/>
    </row>
    <row r="147" spans="2:4" ht="13.5" customHeight="1">
      <c r="B147" s="110"/>
      <c r="C147" s="110"/>
      <c r="D147" s="110"/>
    </row>
  </sheetData>
  <phoneticPr fontId="5" type="noConversion"/>
  <printOptions gridLinesSet="0"/>
  <pageMargins left="0.66" right="0.32" top="0.62" bottom="0.59" header="0.5" footer="0.5"/>
  <pageSetup paperSize="9" orientation="portrait" horizontalDpi="4294967292" verticalDpi="4294967292" r:id="rId1"/>
  <headerFooter alignWithMargins="0"/>
  <rowBreaks count="2" manualBreakCount="2">
    <brk id="28" max="7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47"/>
  <sheetViews>
    <sheetView showGridLines="0" view="pageBreakPreview" zoomScaleNormal="100" zoomScaleSheetLayoutView="100" workbookViewId="0">
      <selection activeCell="A27" sqref="A27"/>
    </sheetView>
  </sheetViews>
  <sheetFormatPr defaultColWidth="11.3984375" defaultRowHeight="13.5" customHeight="1"/>
  <cols>
    <col min="1" max="1" width="26.09765625" style="88" customWidth="1"/>
    <col min="2" max="4" width="11.3984375" style="108" customWidth="1"/>
    <col min="5" max="5" width="4.09765625" style="110" customWidth="1"/>
    <col min="6" max="7" width="7.19921875" style="110" customWidth="1"/>
    <col min="8" max="8" width="10.3984375" style="110" customWidth="1"/>
    <col min="9" max="9" width="10.8984375" style="110" customWidth="1"/>
    <col min="10" max="10" width="11.3984375" style="110"/>
    <col min="11" max="11" width="12.19921875" style="110" bestFit="1" customWidth="1"/>
    <col min="12" max="16384" width="11.3984375" style="110"/>
  </cols>
  <sheetData>
    <row r="1" spans="1:29" ht="18.75" customHeight="1">
      <c r="A1" s="3" t="s">
        <v>32</v>
      </c>
      <c r="C1" s="109"/>
      <c r="D1" s="109"/>
      <c r="H1" s="170" t="s">
        <v>185</v>
      </c>
      <c r="I1" s="170" t="s">
        <v>185</v>
      </c>
      <c r="K1" s="111"/>
    </row>
    <row r="2" spans="1:29" ht="16.5" customHeight="1" thickBot="1">
      <c r="A2" s="187" t="s">
        <v>186</v>
      </c>
      <c r="B2" s="173">
        <v>2008</v>
      </c>
      <c r="C2" s="173">
        <f>B2+1</f>
        <v>2009</v>
      </c>
      <c r="D2" s="173">
        <f>C2+1</f>
        <v>2010</v>
      </c>
      <c r="H2" s="171">
        <f>D2+1</f>
        <v>2011</v>
      </c>
      <c r="I2" s="171">
        <f>H2+1</f>
        <v>2012</v>
      </c>
      <c r="J2" s="158"/>
      <c r="K2" s="111"/>
    </row>
    <row r="3" spans="1:29" ht="13.5" customHeight="1">
      <c r="A3" s="81" t="s">
        <v>10</v>
      </c>
      <c r="B3" s="112">
        <v>87000</v>
      </c>
      <c r="C3" s="112">
        <v>84016</v>
      </c>
      <c r="D3" s="112">
        <v>74233</v>
      </c>
      <c r="F3" s="1"/>
      <c r="G3" s="1"/>
      <c r="H3" s="194"/>
      <c r="I3" s="194"/>
      <c r="K3" s="62"/>
      <c r="L3" s="114"/>
      <c r="M3" s="114"/>
    </row>
    <row r="4" spans="1:29" s="115" customFormat="1" ht="13.5" customHeight="1">
      <c r="A4" s="82" t="s">
        <v>11</v>
      </c>
      <c r="B4" s="113">
        <v>63895</v>
      </c>
      <c r="C4" s="113">
        <v>60810</v>
      </c>
      <c r="D4" s="113">
        <v>53350</v>
      </c>
      <c r="E4" s="114"/>
      <c r="F4" s="1"/>
      <c r="G4" s="1"/>
      <c r="H4" s="195"/>
      <c r="I4" s="195"/>
      <c r="J4" s="114"/>
      <c r="K4" s="6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114" customFormat="1" ht="13.5" customHeight="1">
      <c r="A5" s="83" t="s">
        <v>12</v>
      </c>
      <c r="B5" s="112">
        <f>B3-B4</f>
        <v>23105</v>
      </c>
      <c r="C5" s="152">
        <f>C3-C4</f>
        <v>23206</v>
      </c>
      <c r="D5" s="112">
        <f>D3-D4</f>
        <v>20883</v>
      </c>
      <c r="F5" s="1"/>
      <c r="G5" s="1"/>
      <c r="H5" s="194"/>
      <c r="I5" s="194"/>
      <c r="K5" s="62"/>
    </row>
    <row r="6" spans="1:29" ht="13.5" customHeight="1">
      <c r="A6" s="222" t="s">
        <v>250</v>
      </c>
      <c r="B6" s="116">
        <f>16640-6264</f>
        <v>10376</v>
      </c>
      <c r="C6" s="128">
        <f>15455-4126</f>
        <v>11329</v>
      </c>
      <c r="D6" s="116">
        <f>13534-3334</f>
        <v>10200</v>
      </c>
      <c r="E6" s="114"/>
      <c r="F6" s="1"/>
      <c r="G6" s="1"/>
      <c r="H6" s="194"/>
      <c r="I6" s="194"/>
      <c r="K6" s="46"/>
      <c r="L6" s="114"/>
      <c r="M6" s="114"/>
      <c r="N6" s="114"/>
      <c r="O6" s="114"/>
      <c r="P6" s="114"/>
    </row>
    <row r="7" spans="1:29" ht="13.5" customHeight="1">
      <c r="A7" s="223" t="s">
        <v>251</v>
      </c>
      <c r="B7" s="116">
        <v>6782</v>
      </c>
      <c r="C7" s="128">
        <v>5819</v>
      </c>
      <c r="D7" s="116">
        <f>5067</f>
        <v>5067</v>
      </c>
      <c r="F7" s="1"/>
      <c r="G7" s="1"/>
      <c r="H7" s="194"/>
      <c r="I7" s="194"/>
      <c r="K7" s="200"/>
      <c r="L7" s="114"/>
      <c r="M7" s="114"/>
      <c r="N7" s="114"/>
      <c r="O7" s="114"/>
      <c r="P7" s="114"/>
    </row>
    <row r="8" spans="1:29" ht="13.5" customHeight="1">
      <c r="A8" s="154" t="s">
        <v>181</v>
      </c>
      <c r="B8" s="113">
        <f>B6+B7</f>
        <v>17158</v>
      </c>
      <c r="C8" s="153">
        <f>C6+C7</f>
        <v>17148</v>
      </c>
      <c r="D8" s="113">
        <f>D6+D7</f>
        <v>15267</v>
      </c>
      <c r="F8" s="114"/>
      <c r="G8" s="114"/>
      <c r="H8" s="195"/>
      <c r="I8" s="195"/>
      <c r="K8" s="46"/>
      <c r="L8" s="114"/>
      <c r="M8" s="114"/>
    </row>
    <row r="9" spans="1:29" ht="13.5" customHeight="1">
      <c r="A9" s="83" t="s">
        <v>29</v>
      </c>
      <c r="B9" s="116">
        <f>B5-B8</f>
        <v>5947</v>
      </c>
      <c r="C9" s="128">
        <f>C5-C8</f>
        <v>6058</v>
      </c>
      <c r="D9" s="116">
        <f>D5-D8</f>
        <v>5616</v>
      </c>
      <c r="F9" s="1"/>
      <c r="G9" s="1"/>
      <c r="H9" s="194"/>
      <c r="I9" s="194"/>
      <c r="K9" s="62"/>
      <c r="L9" s="114"/>
      <c r="M9" s="114"/>
    </row>
    <row r="10" spans="1:29" ht="13.5" customHeight="1">
      <c r="A10" s="117" t="s">
        <v>15</v>
      </c>
      <c r="B10" s="113">
        <v>6264</v>
      </c>
      <c r="C10" s="153">
        <v>4126</v>
      </c>
      <c r="D10" s="113">
        <v>3334</v>
      </c>
      <c r="F10" s="1"/>
      <c r="G10" s="1"/>
      <c r="H10" s="195"/>
      <c r="I10" s="195"/>
      <c r="K10" s="62"/>
      <c r="L10" s="114"/>
      <c r="M10" s="114"/>
    </row>
    <row r="11" spans="1:29" ht="13.5" customHeight="1">
      <c r="A11" s="83" t="s">
        <v>16</v>
      </c>
      <c r="B11" s="112">
        <f>B9-B10</f>
        <v>-317</v>
      </c>
      <c r="C11" s="112">
        <f>C9-C10</f>
        <v>1932</v>
      </c>
      <c r="D11" s="112">
        <f>D9-D10</f>
        <v>2282</v>
      </c>
      <c r="F11" s="1"/>
      <c r="G11" s="1"/>
      <c r="H11" s="194"/>
      <c r="I11" s="194"/>
      <c r="K11" s="62"/>
      <c r="L11" s="114"/>
      <c r="M11" s="114"/>
    </row>
    <row r="12" spans="1:29" ht="13.5" customHeight="1">
      <c r="A12" s="149" t="s">
        <v>252</v>
      </c>
      <c r="B12" s="113">
        <f>2762+49+173-32+43</f>
        <v>2995</v>
      </c>
      <c r="C12" s="113">
        <f>1321-114+18+94+224</f>
        <v>1543</v>
      </c>
      <c r="D12" s="113">
        <f>642+142+61+31+214</f>
        <v>1090</v>
      </c>
      <c r="F12" s="1"/>
      <c r="G12" s="1"/>
      <c r="H12" s="195"/>
      <c r="I12" s="195"/>
      <c r="K12" s="62"/>
      <c r="L12" s="114"/>
      <c r="M12" s="114"/>
    </row>
    <row r="13" spans="1:29" ht="13.5" customHeight="1">
      <c r="A13" s="156" t="s">
        <v>17</v>
      </c>
      <c r="B13" s="112">
        <f>B11+B12</f>
        <v>2678</v>
      </c>
      <c r="C13" s="152">
        <f>C11+C12</f>
        <v>3475</v>
      </c>
      <c r="D13" s="112">
        <f>D11+D12</f>
        <v>3372</v>
      </c>
      <c r="F13" s="1"/>
      <c r="G13" s="1"/>
      <c r="H13" s="196"/>
      <c r="I13" s="196"/>
      <c r="K13" s="62"/>
      <c r="L13" s="114"/>
      <c r="M13" s="114"/>
    </row>
    <row r="14" spans="1:29" ht="13.5" customHeight="1">
      <c r="A14" s="155" t="s">
        <v>149</v>
      </c>
      <c r="B14" s="116">
        <v>781</v>
      </c>
      <c r="C14" s="128">
        <v>849</v>
      </c>
      <c r="D14" s="116">
        <v>867</v>
      </c>
      <c r="F14" s="1"/>
      <c r="G14" s="1"/>
      <c r="H14" s="194"/>
      <c r="I14" s="194"/>
      <c r="K14" s="62"/>
      <c r="L14" s="114"/>
      <c r="M14" s="114"/>
    </row>
    <row r="15" spans="1:29" ht="13.5" customHeight="1">
      <c r="A15" s="147" t="s">
        <v>148</v>
      </c>
      <c r="B15" s="113">
        <v>191</v>
      </c>
      <c r="C15" s="153">
        <v>-29</v>
      </c>
      <c r="D15" s="113">
        <v>-60</v>
      </c>
      <c r="F15" s="1"/>
      <c r="G15" s="1"/>
      <c r="H15" s="195"/>
      <c r="I15" s="195"/>
      <c r="K15" s="62"/>
      <c r="L15" s="114"/>
      <c r="M15" s="114"/>
    </row>
    <row r="16" spans="1:29" ht="13.5" customHeight="1">
      <c r="A16" s="82" t="s">
        <v>18</v>
      </c>
      <c r="B16" s="113">
        <f>B13-B14+B15</f>
        <v>2088</v>
      </c>
      <c r="C16" s="113">
        <f>C13-C14+C15</f>
        <v>2597</v>
      </c>
      <c r="D16" s="113">
        <f>D13-D14+D15</f>
        <v>2445</v>
      </c>
      <c r="F16" s="1"/>
      <c r="G16" s="1"/>
      <c r="H16" s="194"/>
      <c r="I16" s="194"/>
      <c r="K16" s="62"/>
      <c r="L16" s="114"/>
      <c r="M16" s="114"/>
    </row>
    <row r="17" spans="1:13" ht="13.5" customHeight="1">
      <c r="B17" s="141"/>
      <c r="C17" s="141"/>
      <c r="D17" s="141"/>
      <c r="K17" s="29"/>
    </row>
    <row r="18" spans="1:13" ht="13.5" customHeight="1" thickBot="1">
      <c r="A18" s="96" t="s">
        <v>211</v>
      </c>
      <c r="B18" s="157"/>
      <c r="C18" s="118"/>
      <c r="D18" s="119"/>
      <c r="E18" s="98"/>
      <c r="H18" s="226"/>
      <c r="I18" s="227" t="s">
        <v>197</v>
      </c>
      <c r="K18" s="150"/>
      <c r="L18" s="114"/>
      <c r="M18" s="114"/>
    </row>
    <row r="19" spans="1:13" ht="13.5" customHeight="1">
      <c r="A19" s="90" t="s">
        <v>212</v>
      </c>
      <c r="B19" s="119" t="s">
        <v>147</v>
      </c>
      <c r="C19" s="214"/>
      <c r="D19" s="214"/>
      <c r="E19" s="98"/>
      <c r="F19" s="98"/>
      <c r="G19" s="98"/>
      <c r="H19" s="228">
        <v>0.05</v>
      </c>
      <c r="I19" s="228">
        <v>0.05</v>
      </c>
      <c r="K19" s="66"/>
      <c r="L19" s="114"/>
      <c r="M19" s="114"/>
    </row>
    <row r="20" spans="1:13" ht="13.5" customHeight="1">
      <c r="A20" s="17" t="s">
        <v>213</v>
      </c>
      <c r="B20" s="198"/>
      <c r="C20" s="198"/>
      <c r="D20" s="198"/>
      <c r="E20" s="98"/>
      <c r="F20" s="98"/>
      <c r="G20" s="98"/>
      <c r="H20" s="229">
        <v>0.28499999999999998</v>
      </c>
      <c r="I20" s="229">
        <v>0.28499999999999998</v>
      </c>
      <c r="K20" s="66"/>
      <c r="L20" s="114"/>
      <c r="M20" s="114"/>
    </row>
    <row r="21" spans="1:13" ht="13.5" customHeight="1">
      <c r="A21" s="17" t="s">
        <v>157</v>
      </c>
      <c r="B21" s="213"/>
      <c r="C21" s="213"/>
      <c r="D21" s="213"/>
      <c r="E21" s="98"/>
      <c r="F21" s="98"/>
      <c r="G21" s="98"/>
      <c r="H21" s="197"/>
      <c r="I21" s="197"/>
      <c r="K21" s="66"/>
      <c r="L21" s="114"/>
      <c r="M21" s="114"/>
    </row>
    <row r="22" spans="1:13" ht="13.5" customHeight="1">
      <c r="A22" s="56" t="s">
        <v>158</v>
      </c>
      <c r="B22" s="119" t="s">
        <v>147</v>
      </c>
      <c r="C22" s="197"/>
      <c r="D22" s="197"/>
      <c r="E22" s="98"/>
      <c r="F22" s="98"/>
      <c r="G22" s="98"/>
      <c r="H22" s="228">
        <v>0</v>
      </c>
      <c r="I22" s="228">
        <v>0.02</v>
      </c>
      <c r="K22" s="66"/>
      <c r="L22" s="114"/>
      <c r="M22" s="114"/>
    </row>
    <row r="23" spans="1:13" ht="13.5" customHeight="1">
      <c r="A23" s="90" t="s">
        <v>34</v>
      </c>
      <c r="B23" s="198"/>
      <c r="C23" s="198"/>
      <c r="D23" s="198"/>
      <c r="E23" s="98"/>
      <c r="F23" s="98"/>
      <c r="G23" s="98"/>
      <c r="H23" s="198"/>
      <c r="I23" s="198"/>
      <c r="K23" s="114"/>
      <c r="L23" s="114"/>
      <c r="M23" s="114"/>
    </row>
    <row r="24" spans="1:13" ht="13.5" customHeight="1">
      <c r="A24" s="91" t="s">
        <v>214</v>
      </c>
      <c r="B24" s="205"/>
      <c r="C24" s="205"/>
      <c r="D24" s="205"/>
      <c r="E24" s="98"/>
      <c r="F24" s="98"/>
      <c r="G24" s="98"/>
      <c r="H24" s="198"/>
      <c r="I24" s="198"/>
      <c r="K24" s="114"/>
      <c r="L24" s="114"/>
      <c r="M24" s="114"/>
    </row>
    <row r="25" spans="1:13" ht="13.5" customHeight="1">
      <c r="A25" s="90" t="s">
        <v>215</v>
      </c>
      <c r="B25" s="213"/>
      <c r="C25" s="213"/>
      <c r="D25" s="213"/>
      <c r="E25" s="98"/>
      <c r="F25" s="98"/>
      <c r="G25" s="98"/>
      <c r="H25" s="197"/>
      <c r="I25" s="197"/>
      <c r="K25" s="66"/>
      <c r="L25" s="114"/>
      <c r="M25" s="114"/>
    </row>
    <row r="26" spans="1:13" ht="13.5" customHeight="1">
      <c r="A26" s="90" t="s">
        <v>297</v>
      </c>
      <c r="B26" s="197"/>
      <c r="C26" s="197"/>
      <c r="D26" s="197"/>
      <c r="E26" s="98"/>
      <c r="F26" s="98"/>
      <c r="G26" s="98"/>
      <c r="H26" s="197"/>
      <c r="I26" s="197"/>
      <c r="K26" s="151"/>
      <c r="L26" s="114"/>
      <c r="M26" s="114"/>
    </row>
    <row r="27" spans="1:13" ht="13.5" customHeight="1">
      <c r="A27" s="90" t="s">
        <v>216</v>
      </c>
      <c r="B27" s="215"/>
      <c r="C27" s="215"/>
      <c r="D27" s="215"/>
      <c r="E27" s="98"/>
      <c r="F27" s="98"/>
      <c r="G27" s="98"/>
      <c r="H27" s="199"/>
      <c r="I27" s="199"/>
      <c r="K27" s="66"/>
      <c r="L27" s="114"/>
      <c r="M27" s="114"/>
    </row>
    <row r="28" spans="1:13" ht="13.5" customHeight="1">
      <c r="A28" s="90"/>
      <c r="B28" s="123"/>
      <c r="C28" s="123"/>
      <c r="D28" s="123"/>
      <c r="E28" s="98"/>
      <c r="F28" s="98"/>
      <c r="G28" s="98"/>
      <c r="H28" s="168"/>
      <c r="I28" s="168"/>
      <c r="K28" s="66"/>
      <c r="L28" s="114"/>
      <c r="M28" s="114"/>
    </row>
    <row r="29" spans="1:13" ht="13.5" customHeight="1">
      <c r="B29" s="124"/>
      <c r="C29" s="124"/>
      <c r="D29" s="124"/>
    </row>
    <row r="30" spans="1:13" ht="17.25" customHeight="1" thickBot="1">
      <c r="A30" s="3" t="s">
        <v>187</v>
      </c>
      <c r="B30" s="174">
        <f>B2</f>
        <v>2008</v>
      </c>
      <c r="C30" s="174">
        <f>C2</f>
        <v>2009</v>
      </c>
      <c r="D30" s="174">
        <f>D2</f>
        <v>2010</v>
      </c>
      <c r="E30" s="175"/>
      <c r="F30" s="176" t="s">
        <v>183</v>
      </c>
      <c r="G30" s="170"/>
    </row>
    <row r="31" spans="1:13" ht="13.5" customHeight="1">
      <c r="A31" s="81" t="s">
        <v>20</v>
      </c>
      <c r="B31" s="112">
        <f>7802+791</f>
        <v>8593</v>
      </c>
      <c r="C31" s="112">
        <f>11196+399</f>
        <v>11595</v>
      </c>
      <c r="D31" s="112">
        <f>12149+650</f>
        <v>12799</v>
      </c>
      <c r="F31" s="201"/>
      <c r="G31" s="159"/>
    </row>
    <row r="32" spans="1:13" ht="13.5" customHeight="1">
      <c r="A32" s="87" t="s">
        <v>21</v>
      </c>
      <c r="B32" s="116">
        <f>17734+1113+10167</f>
        <v>29014</v>
      </c>
      <c r="C32" s="116">
        <f>15230+1212+5353</f>
        <v>21795</v>
      </c>
      <c r="D32" s="116">
        <v>20324</v>
      </c>
      <c r="F32" s="201"/>
      <c r="G32" s="159"/>
    </row>
    <row r="33" spans="1:7" ht="13.5" customHeight="1">
      <c r="A33" s="87" t="s">
        <v>22</v>
      </c>
      <c r="B33" s="116">
        <v>13406</v>
      </c>
      <c r="C33" s="116">
        <v>10672</v>
      </c>
      <c r="D33" s="116">
        <v>10366</v>
      </c>
      <c r="F33" s="201"/>
      <c r="G33" s="159"/>
    </row>
    <row r="34" spans="1:7" ht="13.5" customHeight="1">
      <c r="A34" s="188" t="s">
        <v>253</v>
      </c>
      <c r="B34" s="112">
        <f>SUM(B31:B33)</f>
        <v>51013</v>
      </c>
      <c r="C34" s="112">
        <f>SUM(C31:C33)</f>
        <v>44062</v>
      </c>
      <c r="D34" s="112">
        <f>SUM(D31:D33)</f>
        <v>43489</v>
      </c>
      <c r="F34" s="216"/>
      <c r="G34" s="159"/>
    </row>
    <row r="35" spans="1:7" ht="13.5" customHeight="1">
      <c r="A35" s="189" t="s">
        <v>254</v>
      </c>
      <c r="B35" s="113">
        <f>90118-51013</f>
        <v>39105</v>
      </c>
      <c r="C35" s="113">
        <f>77939-44062</f>
        <v>33877</v>
      </c>
      <c r="D35" s="113">
        <f>77605-43489</f>
        <v>34116</v>
      </c>
      <c r="F35" s="201"/>
      <c r="G35" s="159"/>
    </row>
    <row r="36" spans="1:7" ht="13.5" customHeight="1">
      <c r="A36" s="189" t="s">
        <v>219</v>
      </c>
      <c r="B36" s="126">
        <f>B34+B35</f>
        <v>90118</v>
      </c>
      <c r="C36" s="126">
        <f>C34+C35</f>
        <v>77939</v>
      </c>
      <c r="D36" s="126">
        <f>D34+D35</f>
        <v>77605</v>
      </c>
      <c r="F36" s="216"/>
      <c r="G36" s="159"/>
    </row>
    <row r="37" spans="1:7" ht="13.5" customHeight="1">
      <c r="B37" s="108" t="s">
        <v>4</v>
      </c>
      <c r="F37" s="217"/>
      <c r="G37" s="160"/>
    </row>
    <row r="38" spans="1:7" ht="13.5" customHeight="1">
      <c r="A38" s="3" t="s">
        <v>36</v>
      </c>
      <c r="D38" s="127"/>
      <c r="F38" s="217"/>
      <c r="G38" s="160"/>
    </row>
    <row r="39" spans="1:7" ht="13.5" customHeight="1">
      <c r="A39" s="81" t="s">
        <v>23</v>
      </c>
      <c r="B39" s="112">
        <v>10798</v>
      </c>
      <c r="C39" s="112">
        <v>8649</v>
      </c>
      <c r="D39" s="112">
        <v>8404</v>
      </c>
      <c r="F39" s="201"/>
      <c r="G39" s="159"/>
    </row>
    <row r="40" spans="1:7" ht="13.5" customHeight="1">
      <c r="A40" s="19" t="s">
        <v>220</v>
      </c>
      <c r="B40" s="116">
        <v>754</v>
      </c>
      <c r="C40" s="116">
        <v>661</v>
      </c>
      <c r="D40" s="116">
        <v>870</v>
      </c>
      <c r="F40" s="201"/>
      <c r="G40" s="159"/>
    </row>
    <row r="41" spans="1:7" ht="13.5" customHeight="1">
      <c r="A41" s="82" t="s">
        <v>24</v>
      </c>
      <c r="B41" s="116">
        <f>2637+10864+19471</f>
        <v>32972</v>
      </c>
      <c r="C41" s="116">
        <f>2103+9608+13691</f>
        <v>25402</v>
      </c>
      <c r="D41" s="116">
        <f>1745+8884+12125</f>
        <v>22754</v>
      </c>
      <c r="F41" s="201"/>
      <c r="G41" s="159"/>
    </row>
    <row r="42" spans="1:7" ht="13.5" customHeight="1">
      <c r="A42" s="188" t="s">
        <v>221</v>
      </c>
      <c r="B42" s="112">
        <f>B39+B40+B41</f>
        <v>44524</v>
      </c>
      <c r="C42" s="112">
        <f>C39+C40+C41</f>
        <v>34712</v>
      </c>
      <c r="D42" s="112">
        <f>D39+D40+D41</f>
        <v>32028</v>
      </c>
      <c r="F42" s="216"/>
      <c r="G42" s="159"/>
    </row>
    <row r="43" spans="1:7" ht="13.5" customHeight="1">
      <c r="A43" s="87" t="s">
        <v>25</v>
      </c>
      <c r="B43" s="116">
        <f>9973+4721+111+2957</f>
        <v>17762</v>
      </c>
      <c r="C43" s="116">
        <f>10243+5326+195+3401</f>
        <v>19165</v>
      </c>
      <c r="D43" s="116">
        <f>11433+5843+534+3418</f>
        <v>21228</v>
      </c>
      <c r="F43" s="201"/>
      <c r="G43" s="159"/>
    </row>
    <row r="44" spans="1:7" ht="13.5" customHeight="1">
      <c r="A44" s="106" t="s">
        <v>223</v>
      </c>
      <c r="B44" s="116">
        <f>23812+4020-2088</f>
        <v>25744</v>
      </c>
      <c r="C44" s="116">
        <f>23521+541-2597</f>
        <v>21465</v>
      </c>
      <c r="D44" s="116">
        <f>23715-2445+634</f>
        <v>21904</v>
      </c>
      <c r="F44" s="201"/>
      <c r="G44" s="159"/>
    </row>
    <row r="45" spans="1:7" ht="13.5" customHeight="1">
      <c r="A45" s="189" t="s">
        <v>224</v>
      </c>
      <c r="B45" s="113">
        <f>B16</f>
        <v>2088</v>
      </c>
      <c r="C45" s="113">
        <f>C16</f>
        <v>2597</v>
      </c>
      <c r="D45" s="113">
        <f>D16</f>
        <v>2445</v>
      </c>
      <c r="F45" s="201"/>
      <c r="G45" s="159"/>
    </row>
    <row r="46" spans="1:7" ht="13.5" customHeight="1">
      <c r="A46" s="93" t="s">
        <v>26</v>
      </c>
      <c r="B46" s="126">
        <f>B42+B43+B44+B45</f>
        <v>90118</v>
      </c>
      <c r="C46" s="126">
        <f>C42+C43+C44+C45</f>
        <v>77939</v>
      </c>
      <c r="D46" s="126">
        <f>D42+D43+D44+D45</f>
        <v>77605</v>
      </c>
      <c r="F46" s="218"/>
    </row>
    <row r="47" spans="1:7" ht="13.5" customHeight="1">
      <c r="A47" s="94"/>
      <c r="B47" s="128"/>
      <c r="C47" s="128"/>
      <c r="D47" s="128"/>
    </row>
    <row r="48" spans="1:7" ht="13.5" customHeight="1">
      <c r="A48" s="88" t="s">
        <v>19</v>
      </c>
      <c r="B48" s="129">
        <f>B4</f>
        <v>63895</v>
      </c>
      <c r="C48" s="129">
        <f>C4+(C33-B33)</f>
        <v>58076</v>
      </c>
      <c r="D48" s="129">
        <f>D4+(D33-C33)</f>
        <v>53044</v>
      </c>
    </row>
    <row r="49" spans="1:9" ht="13.5" customHeight="1">
      <c r="A49" s="224" t="s">
        <v>255</v>
      </c>
      <c r="B49" s="129"/>
      <c r="C49" s="129">
        <f>C35-B35+C10</f>
        <v>-1102</v>
      </c>
      <c r="D49" s="129">
        <f>D35-C35+D10</f>
        <v>3573</v>
      </c>
      <c r="F49" t="s">
        <v>260</v>
      </c>
    </row>
    <row r="50" spans="1:9" ht="13.5" customHeight="1">
      <c r="A50" s="95"/>
      <c r="B50" s="129"/>
      <c r="C50" s="129"/>
      <c r="D50" s="129"/>
      <c r="F50" s="130"/>
      <c r="G50" s="130"/>
      <c r="H50" s="182" t="s">
        <v>185</v>
      </c>
      <c r="I50" s="182" t="s">
        <v>185</v>
      </c>
    </row>
    <row r="51" spans="1:9" ht="18.75" customHeight="1" thickBot="1">
      <c r="A51" s="179" t="s">
        <v>226</v>
      </c>
      <c r="B51" s="177">
        <f>B30</f>
        <v>2008</v>
      </c>
      <c r="C51" s="177">
        <f>C30</f>
        <v>2009</v>
      </c>
      <c r="D51" s="177">
        <f>D30</f>
        <v>2010</v>
      </c>
      <c r="E51" s="172"/>
      <c r="F51" s="178" t="s">
        <v>183</v>
      </c>
      <c r="G51" s="169"/>
      <c r="H51" s="183">
        <f>D30+1</f>
        <v>2011</v>
      </c>
      <c r="I51" s="183">
        <f>H51+1</f>
        <v>2012</v>
      </c>
    </row>
    <row r="52" spans="1:9" ht="13.5" customHeight="1">
      <c r="A52" s="90" t="s">
        <v>256</v>
      </c>
      <c r="B52" s="196"/>
      <c r="C52" s="196"/>
      <c r="D52" s="196"/>
      <c r="E52" s="98"/>
      <c r="F52" s="201"/>
      <c r="G52" s="159"/>
      <c r="H52" s="201"/>
      <c r="I52" s="201"/>
    </row>
    <row r="53" spans="1:9" ht="13.5" customHeight="1">
      <c r="A53" s="97" t="s">
        <v>267</v>
      </c>
      <c r="B53" s="196"/>
      <c r="C53" s="196"/>
      <c r="D53" s="196"/>
      <c r="E53" s="98"/>
      <c r="F53" s="201"/>
      <c r="G53" s="159"/>
      <c r="H53" s="201"/>
      <c r="I53" s="201"/>
    </row>
    <row r="54" spans="1:9" ht="13.5" customHeight="1">
      <c r="A54" s="97" t="s">
        <v>257</v>
      </c>
      <c r="B54" s="204"/>
      <c r="C54" s="204"/>
      <c r="D54" s="204"/>
      <c r="E54" s="98"/>
      <c r="F54" s="201"/>
      <c r="G54" s="159"/>
      <c r="H54" s="202"/>
      <c r="I54" s="202"/>
    </row>
    <row r="55" spans="1:9" ht="13.5" customHeight="1">
      <c r="A55" s="97" t="s">
        <v>229</v>
      </c>
      <c r="B55" s="196"/>
      <c r="C55" s="196"/>
      <c r="D55" s="196"/>
      <c r="E55" s="98"/>
      <c r="F55" s="201"/>
      <c r="G55" s="159"/>
      <c r="H55" s="203"/>
      <c r="I55" s="203"/>
    </row>
    <row r="56" spans="1:9" ht="13.5" customHeight="1">
      <c r="A56" s="97"/>
      <c r="B56" s="196"/>
      <c r="C56" s="196"/>
      <c r="D56" s="196"/>
      <c r="E56" s="98"/>
      <c r="F56" s="201"/>
      <c r="G56" s="159"/>
      <c r="H56" s="201"/>
      <c r="I56" s="201"/>
    </row>
    <row r="57" spans="1:9" ht="13.5" customHeight="1">
      <c r="A57" s="97" t="s">
        <v>146</v>
      </c>
      <c r="B57" s="196"/>
      <c r="C57" s="196"/>
      <c r="D57" s="196"/>
      <c r="E57" s="98"/>
      <c r="F57" s="201"/>
      <c r="G57" s="159"/>
      <c r="H57" s="201"/>
      <c r="I57" s="201"/>
    </row>
    <row r="58" spans="1:9" ht="13.5" customHeight="1">
      <c r="A58" s="97" t="s">
        <v>28</v>
      </c>
      <c r="B58" s="204"/>
      <c r="C58" s="204"/>
      <c r="D58" s="204"/>
      <c r="E58" s="98"/>
      <c r="F58" s="201"/>
      <c r="G58" s="159"/>
      <c r="H58" s="202"/>
      <c r="I58" s="202"/>
    </row>
    <row r="59" spans="1:9" ht="13.5" customHeight="1">
      <c r="A59" s="97" t="s">
        <v>230</v>
      </c>
      <c r="B59" s="196"/>
      <c r="C59" s="196"/>
      <c r="D59" s="196"/>
      <c r="E59" s="98"/>
      <c r="F59" s="201"/>
      <c r="G59" s="159"/>
      <c r="H59" s="203"/>
      <c r="I59" s="203"/>
    </row>
    <row r="60" spans="1:9" ht="13.5" customHeight="1">
      <c r="A60" s="97"/>
      <c r="B60" s="131"/>
      <c r="C60" s="131"/>
      <c r="D60" s="131"/>
      <c r="E60" s="98"/>
      <c r="F60" s="216"/>
      <c r="G60" s="159"/>
      <c r="H60" s="148"/>
      <c r="I60" s="148"/>
    </row>
    <row r="61" spans="1:9" ht="13.5" customHeight="1" thickBot="1">
      <c r="A61" s="96" t="s">
        <v>232</v>
      </c>
      <c r="B61" s="133"/>
      <c r="C61" s="133"/>
      <c r="D61" s="133"/>
      <c r="E61" s="98"/>
      <c r="F61" s="216"/>
      <c r="G61" s="159"/>
      <c r="H61" s="148"/>
      <c r="I61" s="148"/>
    </row>
    <row r="62" spans="1:9" ht="13.5" customHeight="1">
      <c r="A62" s="90" t="s">
        <v>27</v>
      </c>
      <c r="B62" s="199"/>
      <c r="C62" s="199"/>
      <c r="D62" s="199"/>
      <c r="E62" s="98"/>
      <c r="F62" s="201"/>
      <c r="G62" s="159"/>
      <c r="H62" s="148"/>
      <c r="I62" s="148"/>
    </row>
    <row r="63" spans="1:9" ht="13.5" customHeight="1">
      <c r="A63" s="90" t="s">
        <v>30</v>
      </c>
      <c r="B63" s="204"/>
      <c r="C63" s="204"/>
      <c r="D63" s="204"/>
      <c r="E63" s="98"/>
      <c r="F63" s="201"/>
      <c r="G63" s="159"/>
      <c r="H63" s="148"/>
      <c r="I63" s="148"/>
    </row>
    <row r="64" spans="1:9" ht="13.5" customHeight="1">
      <c r="A64" s="90" t="s">
        <v>233</v>
      </c>
      <c r="B64" s="196"/>
      <c r="C64" s="196"/>
      <c r="D64" s="196"/>
      <c r="E64" s="98"/>
      <c r="F64" s="201"/>
      <c r="G64" s="159"/>
      <c r="H64" s="148"/>
      <c r="I64" s="148"/>
    </row>
    <row r="65" spans="1:9" ht="13.5" customHeight="1">
      <c r="A65" s="90" t="s">
        <v>234</v>
      </c>
      <c r="B65" s="221"/>
      <c r="C65" s="221"/>
      <c r="D65" s="221"/>
      <c r="E65" s="98"/>
      <c r="F65" s="98"/>
      <c r="G65" s="98"/>
      <c r="H65" s="125"/>
    </row>
    <row r="66" spans="1:9" ht="13.5" customHeight="1">
      <c r="A66" s="90" t="s">
        <v>184</v>
      </c>
      <c r="B66" s="199"/>
      <c r="C66" s="199"/>
      <c r="D66" s="199"/>
      <c r="E66" s="98"/>
      <c r="H66" s="125"/>
      <c r="I66" s="99" t="s">
        <v>293</v>
      </c>
    </row>
    <row r="67" spans="1:9" ht="13.5" customHeight="1">
      <c r="B67" s="220"/>
      <c r="C67" s="220"/>
      <c r="D67" s="220"/>
      <c r="H67" s="125"/>
    </row>
    <row r="68" spans="1:9" ht="13.5" customHeight="1" thickBot="1">
      <c r="A68" s="96" t="s">
        <v>235</v>
      </c>
      <c r="B68" s="219"/>
      <c r="C68" s="219"/>
      <c r="D68" s="219"/>
      <c r="H68" s="226"/>
      <c r="I68" s="227" t="s">
        <v>197</v>
      </c>
    </row>
    <row r="69" spans="1:9" ht="13.5" customHeight="1">
      <c r="A69" s="90" t="s">
        <v>38</v>
      </c>
      <c r="B69" s="199"/>
      <c r="C69" s="199"/>
      <c r="D69" s="199"/>
    </row>
    <row r="70" spans="1:9" ht="13.5" customHeight="1">
      <c r="A70" s="90" t="s">
        <v>39</v>
      </c>
      <c r="B70" s="199"/>
      <c r="C70" s="199"/>
      <c r="D70" s="199"/>
    </row>
    <row r="71" spans="1:9" ht="13.5" customHeight="1">
      <c r="A71" s="90" t="s">
        <v>40</v>
      </c>
      <c r="B71" s="199"/>
      <c r="C71" s="199"/>
      <c r="D71" s="199"/>
    </row>
    <row r="72" spans="1:9" ht="13.5" customHeight="1">
      <c r="A72" s="90" t="s">
        <v>31</v>
      </c>
      <c r="B72" s="205"/>
      <c r="C72" s="205"/>
      <c r="D72" s="205"/>
      <c r="H72" s="230">
        <v>0.25</v>
      </c>
      <c r="I72" s="230">
        <v>0.25</v>
      </c>
    </row>
    <row r="73" spans="1:9" ht="13.5" customHeight="1">
      <c r="A73" s="90" t="s">
        <v>41</v>
      </c>
      <c r="B73" s="206"/>
      <c r="C73" s="206"/>
      <c r="D73" s="206"/>
    </row>
    <row r="74" spans="1:9" ht="13.5" customHeight="1">
      <c r="A74" s="225" t="s">
        <v>268</v>
      </c>
      <c r="B74" s="206"/>
      <c r="C74" s="206"/>
      <c r="D74" s="206"/>
      <c r="H74" s="207"/>
      <c r="I74" s="207"/>
    </row>
    <row r="75" spans="1:9" ht="13.5" customHeight="1">
      <c r="B75" s="136"/>
      <c r="C75" s="136"/>
      <c r="D75" s="136"/>
    </row>
    <row r="76" spans="1:9" ht="13.5" customHeight="1">
      <c r="A76" s="95"/>
      <c r="B76" s="129"/>
      <c r="D76" s="129"/>
    </row>
    <row r="77" spans="1:9" ht="13.5" customHeight="1">
      <c r="A77" s="95"/>
      <c r="B77" s="167"/>
      <c r="C77" s="167"/>
      <c r="D77" s="167"/>
    </row>
    <row r="78" spans="1:9" ht="13.5" customHeight="1">
      <c r="A78" s="95"/>
    </row>
    <row r="79" spans="1:9" ht="13.5" customHeight="1">
      <c r="A79" s="95"/>
      <c r="B79" s="137"/>
      <c r="C79" s="138"/>
      <c r="D79" s="138"/>
    </row>
    <row r="80" spans="1:9" ht="13.5" customHeight="1">
      <c r="A80" s="95"/>
      <c r="B80" s="139"/>
      <c r="C80" s="139"/>
      <c r="D80" s="139"/>
    </row>
    <row r="81" spans="1:4" ht="13.5" customHeight="1">
      <c r="A81" s="95"/>
      <c r="B81" s="139"/>
      <c r="C81" s="139"/>
      <c r="D81" s="139"/>
    </row>
    <row r="82" spans="1:4" ht="13.5" customHeight="1">
      <c r="A82" s="95"/>
      <c r="B82" s="140"/>
      <c r="C82" s="140"/>
      <c r="D82" s="140"/>
    </row>
    <row r="83" spans="1:4" ht="13.5" customHeight="1">
      <c r="A83" s="95"/>
      <c r="B83" s="110"/>
      <c r="C83" s="139"/>
      <c r="D83" s="139"/>
    </row>
    <row r="84" spans="1:4" ht="13.5" customHeight="1">
      <c r="B84" s="110"/>
      <c r="C84" s="141"/>
      <c r="D84" s="141"/>
    </row>
    <row r="85" spans="1:4" ht="13.5" customHeight="1">
      <c r="B85" s="139"/>
      <c r="C85" s="141"/>
      <c r="D85" s="141"/>
    </row>
    <row r="86" spans="1:4" ht="13.5" customHeight="1">
      <c r="B86" s="139"/>
      <c r="C86" s="141"/>
      <c r="D86" s="141"/>
    </row>
    <row r="87" spans="1:4" ht="13.5" customHeight="1">
      <c r="A87" s="95"/>
      <c r="B87" s="139"/>
      <c r="C87" s="141"/>
      <c r="D87" s="141"/>
    </row>
    <row r="88" spans="1:4" ht="13.5" customHeight="1">
      <c r="B88" s="142"/>
      <c r="C88" s="143"/>
      <c r="D88" s="143"/>
    </row>
    <row r="89" spans="1:4" ht="13.5" customHeight="1">
      <c r="B89" s="142"/>
      <c r="C89" s="143"/>
      <c r="D89" s="143"/>
    </row>
    <row r="90" spans="1:4" ht="13.5" customHeight="1">
      <c r="A90" s="95"/>
    </row>
    <row r="92" spans="1:4" ht="13.5" customHeight="1">
      <c r="A92" s="95"/>
      <c r="B92" s="127"/>
      <c r="C92" s="127"/>
      <c r="D92" s="127"/>
    </row>
    <row r="93" spans="1:4" ht="13.5" customHeight="1">
      <c r="A93" s="95"/>
      <c r="B93" s="127"/>
      <c r="C93" s="127"/>
      <c r="D93" s="127"/>
    </row>
    <row r="94" spans="1:4" ht="13.5" customHeight="1">
      <c r="B94" s="127"/>
      <c r="C94" s="127"/>
      <c r="D94" s="127"/>
    </row>
    <row r="95" spans="1:4" ht="13.5" customHeight="1">
      <c r="B95" s="127"/>
      <c r="C95" s="127"/>
      <c r="D95" s="127"/>
    </row>
    <row r="96" spans="1:4" ht="13.5" customHeight="1">
      <c r="B96" s="127"/>
      <c r="C96" s="127"/>
      <c r="D96" s="127"/>
    </row>
    <row r="97" spans="1:4" ht="13.5" customHeight="1">
      <c r="A97" s="95"/>
      <c r="B97" s="127"/>
      <c r="C97" s="127"/>
      <c r="D97" s="127"/>
    </row>
    <row r="98" spans="1:4" ht="13.5" customHeight="1">
      <c r="B98" s="127"/>
      <c r="C98" s="127"/>
      <c r="D98" s="127"/>
    </row>
    <row r="99" spans="1:4" ht="13.5" customHeight="1">
      <c r="B99" s="127"/>
      <c r="C99" s="127"/>
      <c r="D99" s="127"/>
    </row>
    <row r="100" spans="1:4" ht="13.5" customHeight="1">
      <c r="B100" s="127"/>
      <c r="C100" s="127"/>
      <c r="D100" s="127"/>
    </row>
    <row r="101" spans="1:4" ht="13.5" customHeight="1">
      <c r="A101" s="144"/>
      <c r="B101" s="127"/>
      <c r="C101" s="127"/>
      <c r="D101" s="127"/>
    </row>
    <row r="102" spans="1:4" ht="13.5" customHeight="1">
      <c r="B102" s="127"/>
      <c r="C102" s="127"/>
      <c r="D102" s="127"/>
    </row>
    <row r="103" spans="1:4" ht="13.5" customHeight="1">
      <c r="B103" s="127"/>
      <c r="C103" s="127"/>
      <c r="D103" s="127"/>
    </row>
    <row r="104" spans="1:4" ht="13.5" customHeight="1">
      <c r="A104" s="95"/>
    </row>
    <row r="105" spans="1:4" ht="13.5" customHeight="1">
      <c r="B105" s="110"/>
      <c r="C105" s="110"/>
      <c r="D105" s="110"/>
    </row>
    <row r="106" spans="1:4" ht="13.5" customHeight="1">
      <c r="B106" s="110"/>
      <c r="C106" s="110"/>
      <c r="D106" s="110"/>
    </row>
    <row r="107" spans="1:4" ht="13.5" customHeight="1">
      <c r="A107" s="95"/>
      <c r="B107" s="110"/>
      <c r="C107" s="110"/>
      <c r="D107" s="110"/>
    </row>
    <row r="108" spans="1:4" ht="13.5" customHeight="1">
      <c r="B108" s="110"/>
      <c r="C108" s="110"/>
      <c r="D108" s="110"/>
    </row>
    <row r="109" spans="1:4" ht="13.5" customHeight="1">
      <c r="A109" s="95"/>
      <c r="B109" s="110"/>
      <c r="C109" s="110"/>
      <c r="D109" s="110"/>
    </row>
    <row r="110" spans="1:4" ht="13.5" customHeight="1">
      <c r="A110" s="95"/>
      <c r="B110" s="110"/>
      <c r="C110" s="110"/>
      <c r="D110" s="110"/>
    </row>
    <row r="111" spans="1:4" ht="13.5" customHeight="1">
      <c r="A111" s="95"/>
      <c r="B111" s="110"/>
      <c r="C111" s="110"/>
      <c r="D111" s="110"/>
    </row>
    <row r="112" spans="1:4" ht="13.5" customHeight="1">
      <c r="B112" s="110"/>
      <c r="C112" s="110"/>
      <c r="D112" s="110"/>
    </row>
    <row r="113" spans="1:4" ht="13.5" customHeight="1">
      <c r="B113" s="110"/>
      <c r="C113" s="110"/>
      <c r="D113" s="110"/>
    </row>
    <row r="114" spans="1:4" ht="13.5" customHeight="1">
      <c r="B114" s="110"/>
      <c r="C114" s="110"/>
      <c r="D114" s="110"/>
    </row>
    <row r="115" spans="1:4" ht="13.5" customHeight="1">
      <c r="A115" s="95"/>
      <c r="B115" s="110"/>
      <c r="C115" s="110"/>
      <c r="D115" s="110"/>
    </row>
    <row r="116" spans="1:4" ht="13.5" customHeight="1">
      <c r="B116" s="110"/>
      <c r="C116" s="110"/>
      <c r="D116" s="110"/>
    </row>
    <row r="117" spans="1:4" ht="13.5" customHeight="1">
      <c r="B117" s="110"/>
      <c r="C117" s="110"/>
      <c r="D117" s="110"/>
    </row>
    <row r="118" spans="1:4" ht="13.5" customHeight="1">
      <c r="B118" s="124"/>
      <c r="C118" s="124"/>
      <c r="D118" s="128"/>
    </row>
    <row r="119" spans="1:4" ht="13.5" customHeight="1">
      <c r="B119" s="124"/>
      <c r="C119" s="124"/>
      <c r="D119" s="128"/>
    </row>
    <row r="120" spans="1:4" ht="13.5" customHeight="1">
      <c r="A120" s="95"/>
      <c r="B120" s="124"/>
      <c r="C120" s="124"/>
      <c r="D120" s="124"/>
    </row>
    <row r="122" spans="1:4" ht="13.5" customHeight="1">
      <c r="A122" s="95"/>
      <c r="B122" s="145"/>
      <c r="C122" s="145"/>
      <c r="D122" s="145"/>
    </row>
    <row r="123" spans="1:4" ht="13.5" customHeight="1">
      <c r="A123" s="110"/>
      <c r="B123" s="145"/>
      <c r="C123" s="145"/>
      <c r="D123" s="145"/>
    </row>
    <row r="124" spans="1:4" ht="13.5" customHeight="1">
      <c r="A124" s="110"/>
      <c r="B124" s="145"/>
      <c r="C124" s="145"/>
      <c r="D124" s="145"/>
    </row>
    <row r="125" spans="1:4" ht="13.5" customHeight="1">
      <c r="B125" s="145"/>
      <c r="C125" s="146"/>
      <c r="D125" s="146"/>
    </row>
    <row r="126" spans="1:4" ht="13.5" customHeight="1">
      <c r="B126" s="145"/>
      <c r="C126" s="146"/>
      <c r="D126" s="146"/>
    </row>
    <row r="127" spans="1:4" ht="13.5" customHeight="1">
      <c r="A127" s="95"/>
      <c r="C127" s="124"/>
      <c r="D127" s="124"/>
    </row>
    <row r="128" spans="1:4" ht="13.5" customHeight="1">
      <c r="C128" s="124"/>
      <c r="D128" s="124"/>
    </row>
    <row r="132" spans="2:4" ht="13.5" customHeight="1">
      <c r="B132" s="110"/>
      <c r="C132" s="110"/>
      <c r="D132" s="110"/>
    </row>
    <row r="133" spans="2:4" ht="13.5" customHeight="1">
      <c r="B133" s="110"/>
      <c r="C133" s="110"/>
      <c r="D133" s="110"/>
    </row>
    <row r="134" spans="2:4" ht="13.5" customHeight="1">
      <c r="B134" s="110"/>
      <c r="C134" s="110"/>
      <c r="D134" s="110"/>
    </row>
    <row r="135" spans="2:4" ht="13.5" customHeight="1">
      <c r="B135" s="110"/>
      <c r="C135" s="110"/>
      <c r="D135" s="110"/>
    </row>
    <row r="137" spans="2:4" ht="13.5" customHeight="1">
      <c r="B137" s="110"/>
      <c r="C137" s="110"/>
      <c r="D137" s="110"/>
    </row>
    <row r="138" spans="2:4" ht="13.5" customHeight="1">
      <c r="B138" s="110"/>
      <c r="C138" s="110"/>
      <c r="D138" s="110"/>
    </row>
    <row r="140" spans="2:4" ht="13.5" customHeight="1">
      <c r="B140" s="110"/>
      <c r="C140" s="110"/>
      <c r="D140" s="110"/>
    </row>
    <row r="141" spans="2:4" ht="13.5" customHeight="1">
      <c r="B141" s="110"/>
      <c r="C141" s="110"/>
      <c r="D141" s="110"/>
    </row>
    <row r="142" spans="2:4" ht="13.5" customHeight="1">
      <c r="B142" s="110"/>
      <c r="C142" s="110"/>
      <c r="D142" s="110"/>
    </row>
    <row r="144" spans="2:4" ht="13.5" customHeight="1">
      <c r="B144" s="110"/>
      <c r="C144" s="110"/>
      <c r="D144" s="110"/>
    </row>
    <row r="145" spans="2:4" ht="13.5" customHeight="1">
      <c r="B145" s="110"/>
      <c r="C145" s="110"/>
      <c r="D145" s="110"/>
    </row>
    <row r="146" spans="2:4" ht="13.5" customHeight="1">
      <c r="B146" s="110"/>
      <c r="C146" s="110"/>
      <c r="D146" s="110"/>
    </row>
    <row r="147" spans="2:4" ht="13.5" customHeight="1">
      <c r="B147" s="110"/>
      <c r="C147" s="110"/>
      <c r="D147" s="110"/>
    </row>
  </sheetData>
  <phoneticPr fontId="5" type="noConversion"/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28" max="7" man="1"/>
    <brk id="7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7"/>
  <sheetViews>
    <sheetView showGridLines="0" view="pageBreakPreview" topLeftCell="A55" zoomScaleNormal="75" workbookViewId="0">
      <selection activeCell="A76" sqref="A76:A95"/>
    </sheetView>
  </sheetViews>
  <sheetFormatPr defaultColWidth="11.3984375" defaultRowHeight="11.5"/>
  <cols>
    <col min="1" max="1" width="23.8984375" style="29" customWidth="1"/>
    <col min="2" max="4" width="10" style="34" customWidth="1"/>
    <col min="5" max="5" width="2.59765625" style="6" customWidth="1"/>
    <col min="6" max="6" width="6.69921875" style="6" customWidth="1"/>
    <col min="7" max="7" width="3.09765625" style="6" customWidth="1"/>
    <col min="8" max="8" width="15" style="6" customWidth="1"/>
    <col min="9" max="16384" width="11.3984375" style="6"/>
  </cols>
  <sheetData>
    <row r="1" spans="1:28" ht="15.65" customHeight="1">
      <c r="A1" s="3" t="s">
        <v>86</v>
      </c>
      <c r="B1" s="161" t="s">
        <v>8</v>
      </c>
      <c r="C1" s="163" t="s">
        <v>182</v>
      </c>
      <c r="D1" s="163" t="s">
        <v>182</v>
      </c>
      <c r="J1" s="7"/>
    </row>
    <row r="2" spans="1:28" ht="17.25" customHeight="1" thickBot="1">
      <c r="A2" s="80" t="s">
        <v>168</v>
      </c>
      <c r="B2" s="162">
        <v>2011</v>
      </c>
      <c r="C2" s="162">
        <f>B2+1</f>
        <v>2012</v>
      </c>
      <c r="D2" s="162">
        <f>C2+1</f>
        <v>2013</v>
      </c>
      <c r="F2" s="79" t="s">
        <v>169</v>
      </c>
      <c r="G2" s="75"/>
      <c r="H2" s="75"/>
      <c r="J2" s="7"/>
    </row>
    <row r="3" spans="1:28" ht="13.5" customHeight="1">
      <c r="A3" s="81" t="s">
        <v>87</v>
      </c>
      <c r="B3" s="10">
        <v>30000</v>
      </c>
      <c r="C3" s="10">
        <f>B3*(1+C79)</f>
        <v>36000</v>
      </c>
      <c r="D3" s="10">
        <f>C3*(1+D79)</f>
        <v>39600</v>
      </c>
      <c r="F3" s="4" t="s">
        <v>88</v>
      </c>
      <c r="G3" s="76"/>
      <c r="H3" s="76"/>
    </row>
    <row r="4" spans="1:28" s="8" customFormat="1" ht="13.5" customHeight="1">
      <c r="A4" s="82" t="s">
        <v>57</v>
      </c>
      <c r="B4" s="15">
        <v>24600</v>
      </c>
      <c r="C4" s="15">
        <f>C3*C80</f>
        <v>29880</v>
      </c>
      <c r="D4" s="15">
        <f>D3*D80</f>
        <v>33264</v>
      </c>
      <c r="E4" s="13"/>
      <c r="F4" s="4" t="s">
        <v>89</v>
      </c>
      <c r="G4" s="76"/>
      <c r="H4" s="7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13" customFormat="1" ht="13.5" customHeight="1">
      <c r="A5" s="83" t="s">
        <v>90</v>
      </c>
      <c r="B5" s="11">
        <v>5400</v>
      </c>
      <c r="C5" s="11">
        <f>C3-C4</f>
        <v>6120</v>
      </c>
      <c r="D5" s="11">
        <f>D3-D4</f>
        <v>6336</v>
      </c>
      <c r="F5" s="4"/>
      <c r="G5" s="76"/>
      <c r="H5" s="76"/>
      <c r="J5" s="44"/>
    </row>
    <row r="6" spans="1:28" ht="13.5" customHeight="1">
      <c r="A6" s="84" t="s">
        <v>91</v>
      </c>
      <c r="B6" s="10">
        <v>1800</v>
      </c>
      <c r="C6" s="10">
        <f>B6*(1+C81)</f>
        <v>2160</v>
      </c>
      <c r="D6" s="10">
        <f>C6*(1+D81)</f>
        <v>2376</v>
      </c>
      <c r="E6" s="13"/>
      <c r="F6" s="4" t="s">
        <v>92</v>
      </c>
      <c r="G6" s="76"/>
      <c r="H6" s="76"/>
      <c r="I6" s="13"/>
      <c r="J6" s="13"/>
      <c r="K6" s="13"/>
      <c r="L6" s="13"/>
      <c r="M6" s="13"/>
      <c r="N6" s="13"/>
      <c r="O6" s="13"/>
    </row>
    <row r="7" spans="1:28" ht="13.5" customHeight="1">
      <c r="A7" s="85" t="s">
        <v>0</v>
      </c>
      <c r="B7" s="47">
        <v>470</v>
      </c>
      <c r="C7" s="10">
        <f>B7*(1+C82)</f>
        <v>564</v>
      </c>
      <c r="D7" s="10">
        <f>C7*(1+D82)</f>
        <v>620.40000000000009</v>
      </c>
      <c r="E7" s="48"/>
      <c r="F7" s="4" t="s">
        <v>92</v>
      </c>
      <c r="G7" s="76"/>
      <c r="H7" s="76"/>
      <c r="I7" s="13"/>
      <c r="J7" s="13"/>
      <c r="K7" s="13"/>
    </row>
    <row r="8" spans="1:28" ht="13.5" customHeight="1">
      <c r="A8" s="86" t="s">
        <v>163</v>
      </c>
      <c r="B8" s="15">
        <v>2270</v>
      </c>
      <c r="C8" s="15">
        <f>C6+C7</f>
        <v>2724</v>
      </c>
      <c r="D8" s="15">
        <f>D6+D7</f>
        <v>2996.4</v>
      </c>
      <c r="F8" s="4"/>
      <c r="G8" s="76"/>
      <c r="H8" s="76"/>
      <c r="I8" s="13"/>
      <c r="J8" s="13"/>
      <c r="K8" s="13"/>
    </row>
    <row r="9" spans="1:28" ht="13.5" customHeight="1">
      <c r="A9" s="87" t="s">
        <v>29</v>
      </c>
      <c r="B9" s="10">
        <v>3130</v>
      </c>
      <c r="C9" s="10">
        <f>C5-C8</f>
        <v>3396</v>
      </c>
      <c r="D9" s="10">
        <f>D5-D8</f>
        <v>3339.6</v>
      </c>
      <c r="G9" s="76"/>
      <c r="H9" s="76"/>
    </row>
    <row r="10" spans="1:28" ht="13.5" customHeight="1">
      <c r="A10" s="82" t="s">
        <v>2</v>
      </c>
      <c r="B10" s="15">
        <v>600</v>
      </c>
      <c r="C10" s="15">
        <f>C84*B35</f>
        <v>600</v>
      </c>
      <c r="D10" s="15">
        <f>D84*C35</f>
        <v>600</v>
      </c>
      <c r="F10" s="53" t="s">
        <v>93</v>
      </c>
      <c r="G10" s="76"/>
      <c r="H10" s="76"/>
    </row>
    <row r="11" spans="1:28" ht="13.5" customHeight="1">
      <c r="A11" s="83" t="s">
        <v>94</v>
      </c>
      <c r="B11" s="11">
        <v>2530</v>
      </c>
      <c r="C11" s="12">
        <f>C9-C10</f>
        <v>2796</v>
      </c>
      <c r="D11" s="11">
        <f>D9-D10</f>
        <v>2739.6</v>
      </c>
      <c r="G11" s="76"/>
      <c r="H11" s="76"/>
    </row>
    <row r="12" spans="1:28" ht="13.5" customHeight="1">
      <c r="A12" s="83" t="s">
        <v>95</v>
      </c>
      <c r="B12" s="15">
        <v>526.68842276942621</v>
      </c>
      <c r="C12" s="12">
        <f ca="1">C83*(C43+C41)</f>
        <v>572.57653835477709</v>
      </c>
      <c r="D12" s="15">
        <f ca="1">D83*(D43+D41)</f>
        <v>488.12292747789161</v>
      </c>
      <c r="F12" s="53" t="s">
        <v>96</v>
      </c>
      <c r="G12" s="76"/>
      <c r="H12" s="76"/>
      <c r="I12" s="49"/>
    </row>
    <row r="13" spans="1:28" ht="13.5" customHeight="1">
      <c r="A13" s="81" t="s">
        <v>97</v>
      </c>
      <c r="B13" s="11">
        <v>2003.3115772305737</v>
      </c>
      <c r="C13" s="11">
        <f ca="1">C11-C12</f>
        <v>2223.4234616452231</v>
      </c>
      <c r="D13" s="11">
        <f ca="1">D11-D12</f>
        <v>2251.4770725221083</v>
      </c>
      <c r="G13" s="76"/>
      <c r="H13" s="76"/>
    </row>
    <row r="14" spans="1:28" ht="13.5" customHeight="1">
      <c r="A14" s="82" t="s">
        <v>98</v>
      </c>
      <c r="B14" s="15">
        <v>600.99347316917203</v>
      </c>
      <c r="C14" s="15">
        <f ca="1">C13*C85</f>
        <v>667.02703849356692</v>
      </c>
      <c r="D14" s="15">
        <f ca="1">D13*D85</f>
        <v>675.44312175663242</v>
      </c>
      <c r="F14" s="4" t="s">
        <v>99</v>
      </c>
      <c r="G14" s="76"/>
      <c r="H14" s="76"/>
    </row>
    <row r="15" spans="1:28" ht="13.5" customHeight="1">
      <c r="A15" s="82" t="s">
        <v>100</v>
      </c>
      <c r="B15" s="15">
        <v>1402.3181040614018</v>
      </c>
      <c r="C15" s="15">
        <f ca="1">C13-C14</f>
        <v>1556.3964231516561</v>
      </c>
      <c r="D15" s="15">
        <f ca="1">D13-D14</f>
        <v>1576.0339507654758</v>
      </c>
      <c r="F15" s="76"/>
      <c r="G15" s="76"/>
      <c r="H15" s="76"/>
      <c r="I15" s="49"/>
    </row>
    <row r="16" spans="1:28" ht="13.5" customHeight="1">
      <c r="A16" s="88"/>
    </row>
    <row r="17" spans="1:8" ht="13.5" customHeight="1" thickBot="1">
      <c r="A17" s="89" t="s">
        <v>101</v>
      </c>
      <c r="B17" s="51"/>
      <c r="C17" s="52"/>
      <c r="D17" s="52"/>
      <c r="E17" s="53"/>
      <c r="F17" s="53"/>
      <c r="G17" s="53"/>
      <c r="H17" s="53"/>
    </row>
    <row r="18" spans="1:8" ht="13.5" customHeight="1">
      <c r="A18" s="90" t="s">
        <v>102</v>
      </c>
      <c r="B18" s="54">
        <v>0.5</v>
      </c>
      <c r="C18" s="54">
        <f>C79</f>
        <v>0.2</v>
      </c>
      <c r="D18" s="54">
        <f>D79</f>
        <v>0.1</v>
      </c>
      <c r="E18" s="53"/>
      <c r="F18" s="53"/>
      <c r="G18" s="53"/>
      <c r="H18" s="53"/>
    </row>
    <row r="19" spans="1:8" ht="13.5" customHeight="1">
      <c r="A19" s="90" t="s">
        <v>164</v>
      </c>
      <c r="B19" s="55">
        <f>B5/B3</f>
        <v>0.18</v>
      </c>
      <c r="C19" s="55">
        <f>C5/C3</f>
        <v>0.17</v>
      </c>
      <c r="D19" s="55">
        <f>D5/D3</f>
        <v>0.16</v>
      </c>
      <c r="E19" s="53"/>
      <c r="F19" s="2"/>
      <c r="G19" s="53"/>
      <c r="H19" s="53"/>
    </row>
    <row r="20" spans="1:8" ht="13.5" customHeight="1">
      <c r="A20" s="17" t="s">
        <v>165</v>
      </c>
      <c r="B20" s="55">
        <f>B8/B3</f>
        <v>7.566666666666666E-2</v>
      </c>
      <c r="C20" s="55">
        <f>C8/C3</f>
        <v>7.566666666666666E-2</v>
      </c>
      <c r="D20" s="55">
        <f>D8/D3</f>
        <v>7.5666666666666674E-2</v>
      </c>
      <c r="E20" s="53"/>
      <c r="F20" s="2"/>
      <c r="G20" s="53"/>
      <c r="H20" s="53"/>
    </row>
    <row r="21" spans="1:8" ht="13.5" customHeight="1">
      <c r="A21" s="56" t="s">
        <v>166</v>
      </c>
      <c r="B21" s="55">
        <v>0.64</v>
      </c>
      <c r="C21" s="55">
        <f>C8/B8-1</f>
        <v>0.19999999999999996</v>
      </c>
      <c r="D21" s="55">
        <f>D8/C8-1</f>
        <v>0.10000000000000009</v>
      </c>
      <c r="E21" s="53"/>
      <c r="G21" s="53"/>
      <c r="H21" s="53"/>
    </row>
    <row r="22" spans="1:8" ht="13.5" customHeight="1">
      <c r="A22" s="90" t="s">
        <v>167</v>
      </c>
      <c r="B22" s="55">
        <f>B9/B3</f>
        <v>0.10433333333333333</v>
      </c>
      <c r="C22" s="55">
        <f>C9/C3</f>
        <v>9.4333333333333338E-2</v>
      </c>
      <c r="D22" s="55">
        <f>D9/D3</f>
        <v>8.433333333333333E-2</v>
      </c>
      <c r="E22" s="53"/>
      <c r="G22" s="53"/>
      <c r="H22" s="53"/>
    </row>
    <row r="23" spans="1:8" ht="13.5" customHeight="1">
      <c r="A23" s="91" t="s">
        <v>291</v>
      </c>
      <c r="B23" s="57">
        <f>B15/B3</f>
        <v>4.6743936802046727E-2</v>
      </c>
      <c r="C23" s="57">
        <f ca="1">C15/C3</f>
        <v>4.3233233976434894E-2</v>
      </c>
      <c r="D23" s="57">
        <f ca="1">D15/D3</f>
        <v>3.9798837140542317E-2</v>
      </c>
      <c r="E23" s="53"/>
      <c r="F23" s="98"/>
      <c r="G23" s="53"/>
      <c r="H23" s="53"/>
    </row>
    <row r="24" spans="1:8" ht="13.5" customHeight="1">
      <c r="A24" s="90" t="s">
        <v>292</v>
      </c>
      <c r="B24" s="55">
        <f>B15/B44</f>
        <v>0.29965195605710171</v>
      </c>
      <c r="C24" s="55">
        <f ca="1">C15/C44</f>
        <v>0.25589614030260244</v>
      </c>
      <c r="D24" s="55">
        <f ca="1">D15/D44</f>
        <v>0.20632666309975448</v>
      </c>
      <c r="E24" s="53"/>
      <c r="F24" s="98"/>
      <c r="G24" s="53"/>
      <c r="H24" s="53"/>
    </row>
    <row r="25" spans="1:8" ht="13.5" customHeight="1">
      <c r="A25" s="90" t="s">
        <v>298</v>
      </c>
      <c r="B25" s="55">
        <f ca="1">B11/B54</f>
        <v>0.22292663333529761</v>
      </c>
      <c r="C25" s="55">
        <f ca="1">C11/C54</f>
        <v>0.2092140553062363</v>
      </c>
      <c r="D25" s="55">
        <f ca="1">D11/D54</f>
        <v>0.19435575571510089</v>
      </c>
      <c r="E25" s="53"/>
      <c r="F25" s="98"/>
      <c r="G25" s="53"/>
      <c r="H25" s="53"/>
    </row>
    <row r="26" spans="1:8" ht="13.5" customHeight="1">
      <c r="A26" s="90" t="s">
        <v>192</v>
      </c>
      <c r="B26" s="58">
        <f>B15+B10</f>
        <v>2002.3181040614018</v>
      </c>
      <c r="C26" s="58">
        <f ca="1">C15+C10</f>
        <v>2156.3964231516561</v>
      </c>
      <c r="D26" s="58">
        <f ca="1">D15+D10</f>
        <v>2176.0339507654758</v>
      </c>
      <c r="E26" s="53"/>
      <c r="F26" s="98" t="s">
        <v>103</v>
      </c>
      <c r="G26" s="53"/>
      <c r="H26" s="53"/>
    </row>
    <row r="27" spans="1:8" ht="13.5" customHeight="1">
      <c r="A27" s="90"/>
      <c r="B27" s="59"/>
      <c r="C27" s="59"/>
      <c r="D27" s="59"/>
      <c r="E27" s="53"/>
      <c r="F27" s="53"/>
      <c r="G27" s="53"/>
      <c r="H27" s="53"/>
    </row>
    <row r="28" spans="1:8" ht="13.5" customHeight="1">
      <c r="A28" s="90"/>
      <c r="B28" s="59"/>
      <c r="C28" s="59"/>
      <c r="D28" s="59"/>
      <c r="E28" s="53"/>
      <c r="F28" s="53"/>
      <c r="G28" s="53"/>
      <c r="H28" s="53"/>
    </row>
    <row r="29" spans="1:8" ht="13.5" customHeight="1">
      <c r="A29" s="3" t="s">
        <v>104</v>
      </c>
      <c r="B29" s="161" t="s">
        <v>8</v>
      </c>
      <c r="C29" s="163" t="s">
        <v>182</v>
      </c>
      <c r="D29" s="163" t="s">
        <v>182</v>
      </c>
    </row>
    <row r="30" spans="1:8" ht="13.5" customHeight="1" thickBot="1">
      <c r="A30" s="92" t="s">
        <v>168</v>
      </c>
      <c r="B30" s="162">
        <v>2011</v>
      </c>
      <c r="C30" s="162">
        <f>B30+1</f>
        <v>2012</v>
      </c>
      <c r="D30" s="162">
        <f>C30+1</f>
        <v>2013</v>
      </c>
      <c r="F30" s="77" t="s">
        <v>170</v>
      </c>
      <c r="H30" s="79" t="s">
        <v>105</v>
      </c>
    </row>
    <row r="31" spans="1:8" ht="13.5" customHeight="1">
      <c r="A31" s="81" t="s">
        <v>106</v>
      </c>
      <c r="B31" s="10">
        <v>50.000000000001819</v>
      </c>
      <c r="C31" s="10">
        <f ca="1">MAX(C46-C32-C33-C35,C95)</f>
        <v>50</v>
      </c>
      <c r="D31" s="10">
        <f ca="1">MAX(D46-D32-D33-D35,D95)</f>
        <v>50</v>
      </c>
      <c r="F31" s="60">
        <f ca="1">D31-B31</f>
        <v>-1.8189894035458565E-12</v>
      </c>
      <c r="H31" s="5" t="s">
        <v>107</v>
      </c>
    </row>
    <row r="32" spans="1:8" ht="13.5" customHeight="1">
      <c r="A32" s="87" t="s">
        <v>58</v>
      </c>
      <c r="B32" s="10">
        <v>6575.3424657534242</v>
      </c>
      <c r="C32" s="10">
        <f>C3/365*C88</f>
        <v>8876.7123287671238</v>
      </c>
      <c r="D32" s="10">
        <f>D3/365*D88</f>
        <v>9764.3835616438355</v>
      </c>
      <c r="F32" s="60">
        <f>D32-B32</f>
        <v>3189.0410958904113</v>
      </c>
      <c r="H32" s="5" t="s">
        <v>108</v>
      </c>
    </row>
    <row r="33" spans="1:8" ht="13.5" customHeight="1">
      <c r="A33" s="87" t="s">
        <v>109</v>
      </c>
      <c r="B33" s="10">
        <v>1347.9452054794522</v>
      </c>
      <c r="C33" s="10">
        <f>C4/365*C89</f>
        <v>1637.2602739726028</v>
      </c>
      <c r="D33" s="10">
        <f>D4/365*D89</f>
        <v>1822.6849315068491</v>
      </c>
      <c r="F33" s="60">
        <f>D33-B33</f>
        <v>474.73972602739696</v>
      </c>
      <c r="H33" s="5" t="s">
        <v>110</v>
      </c>
    </row>
    <row r="34" spans="1:8" ht="13.5" customHeight="1">
      <c r="A34" s="81" t="s">
        <v>111</v>
      </c>
      <c r="B34" s="11">
        <v>7973.287671232878</v>
      </c>
      <c r="C34" s="11">
        <f ca="1">SUM(C31:C33)</f>
        <v>10563.972602739726</v>
      </c>
      <c r="D34" s="11">
        <f ca="1">SUM(D31:D33)</f>
        <v>11637.068493150684</v>
      </c>
      <c r="F34" s="60"/>
      <c r="H34" s="5"/>
    </row>
    <row r="35" spans="1:8" ht="13.5" customHeight="1">
      <c r="A35" s="82" t="s">
        <v>112</v>
      </c>
      <c r="B35" s="15">
        <v>6000</v>
      </c>
      <c r="C35" s="15">
        <f>B35+C91-C10</f>
        <v>6000</v>
      </c>
      <c r="D35" s="15">
        <f>C35+D91-D10</f>
        <v>6000</v>
      </c>
      <c r="F35" s="60">
        <f>D35-B35</f>
        <v>0</v>
      </c>
      <c r="H35" s="5" t="s">
        <v>113</v>
      </c>
    </row>
    <row r="36" spans="1:8" ht="13.5" customHeight="1">
      <c r="A36" s="82" t="s">
        <v>114</v>
      </c>
      <c r="B36" s="22">
        <v>13973.287671232878</v>
      </c>
      <c r="C36" s="22">
        <f ca="1">C34+C35</f>
        <v>16563.972602739726</v>
      </c>
      <c r="D36" s="22">
        <f ca="1">D34+D35</f>
        <v>17637.068493150684</v>
      </c>
      <c r="F36" s="60"/>
      <c r="H36" s="5"/>
    </row>
    <row r="37" spans="1:8" ht="13.5" customHeight="1">
      <c r="A37" s="88"/>
      <c r="B37" s="34" t="s">
        <v>4</v>
      </c>
      <c r="D37" s="34" t="s">
        <v>4</v>
      </c>
      <c r="F37" s="61"/>
      <c r="H37" s="5"/>
    </row>
    <row r="38" spans="1:8" ht="13.5" customHeight="1">
      <c r="A38" s="3" t="s">
        <v>194</v>
      </c>
      <c r="B38" s="40"/>
      <c r="F38" s="61"/>
      <c r="H38" s="5"/>
    </row>
    <row r="39" spans="1:8" ht="13.5" customHeight="1">
      <c r="A39" s="81" t="s">
        <v>115</v>
      </c>
      <c r="B39" s="11">
        <v>2023.2689059861136</v>
      </c>
      <c r="C39" s="11">
        <f>C48/365*C90</f>
        <v>2479.6697316569716</v>
      </c>
      <c r="D39" s="11">
        <f>D48/365*D90</f>
        <v>2749.2677800713082</v>
      </c>
      <c r="F39" s="60">
        <f>D39-B39</f>
        <v>725.99887408519453</v>
      </c>
      <c r="H39" s="5" t="s">
        <v>116</v>
      </c>
    </row>
    <row r="40" spans="1:8" ht="13.5" customHeight="1">
      <c r="A40" s="106" t="s">
        <v>175</v>
      </c>
      <c r="B40" s="10">
        <v>600.99347316917203</v>
      </c>
      <c r="C40" s="10">
        <f>C92*C3</f>
        <v>720</v>
      </c>
      <c r="D40" s="10">
        <f>D92*D3</f>
        <v>792</v>
      </c>
      <c r="F40" s="60">
        <f>D40-B40</f>
        <v>191.00652683082797</v>
      </c>
      <c r="H40" s="5" t="s">
        <v>177</v>
      </c>
    </row>
    <row r="41" spans="1:8" ht="13.5" customHeight="1">
      <c r="A41" s="82" t="s">
        <v>117</v>
      </c>
      <c r="B41" s="10">
        <v>3266.8842276942623</v>
      </c>
      <c r="C41" s="10">
        <f ca="1">MAX(C62-C63,0)</f>
        <v>4225.7653835477704</v>
      </c>
      <c r="D41" s="10">
        <f ca="1">MAX(D62-D63,0)</f>
        <v>3881.2292747789161</v>
      </c>
      <c r="F41" s="60">
        <f ca="1">D41-B41</f>
        <v>614.34504708465374</v>
      </c>
      <c r="H41" s="5" t="s">
        <v>118</v>
      </c>
    </row>
    <row r="42" spans="1:8" ht="13.5" customHeight="1">
      <c r="A42" s="81" t="s">
        <v>150</v>
      </c>
      <c r="B42" s="11">
        <v>5891.1466068495483</v>
      </c>
      <c r="C42" s="11">
        <f ca="1">C39+C40+C41</f>
        <v>7425.435115204742</v>
      </c>
      <c r="D42" s="11">
        <f ca="1">D39+D40+D41</f>
        <v>7422.4970548502242</v>
      </c>
      <c r="F42" s="60"/>
      <c r="H42" s="5"/>
    </row>
    <row r="43" spans="1:8" ht="13.5" customHeight="1">
      <c r="A43" s="87" t="s">
        <v>119</v>
      </c>
      <c r="B43" s="10">
        <v>2000</v>
      </c>
      <c r="C43" s="10">
        <f>B43+C93</f>
        <v>1500</v>
      </c>
      <c r="D43" s="10">
        <f>C43+D93</f>
        <v>1000</v>
      </c>
      <c r="F43" s="60">
        <f>D43-B43</f>
        <v>-1000</v>
      </c>
      <c r="H43" s="5" t="s">
        <v>120</v>
      </c>
    </row>
    <row r="44" spans="1:8" ht="13.5" customHeight="1">
      <c r="A44" s="87" t="s">
        <v>121</v>
      </c>
      <c r="B44" s="10">
        <v>4679.822960321927</v>
      </c>
      <c r="C44" s="10">
        <f>B44+B45*(1-B94)</f>
        <v>6082.1410643833287</v>
      </c>
      <c r="D44" s="10">
        <f ca="1">C44+C45*(1-C94)</f>
        <v>7638.5374875349844</v>
      </c>
      <c r="F44" s="60">
        <f ca="1">D44-B44</f>
        <v>2958.7145272130574</v>
      </c>
      <c r="H44" s="5" t="s">
        <v>122</v>
      </c>
    </row>
    <row r="45" spans="1:8" ht="13.5" customHeight="1">
      <c r="A45" s="82" t="s">
        <v>123</v>
      </c>
      <c r="B45" s="15">
        <v>1402.3181040614018</v>
      </c>
      <c r="C45" s="15">
        <f ca="1">C15</f>
        <v>1556.3964231516561</v>
      </c>
      <c r="D45" s="15">
        <f ca="1">D15</f>
        <v>1576.0339507654758</v>
      </c>
      <c r="F45" s="60">
        <f ca="1">D45-B45</f>
        <v>173.71584670407401</v>
      </c>
      <c r="H45" s="5"/>
    </row>
    <row r="46" spans="1:8" ht="13.5" customHeight="1">
      <c r="A46" s="93" t="s">
        <v>124</v>
      </c>
      <c r="B46" s="22">
        <v>13973.287671232878</v>
      </c>
      <c r="C46" s="22">
        <f ca="1">C42+C43+C44+C45</f>
        <v>16563.972602739726</v>
      </c>
      <c r="D46" s="22">
        <f ca="1">D42+D43+D44+D45</f>
        <v>17637.068493150684</v>
      </c>
      <c r="H46" s="5"/>
    </row>
    <row r="47" spans="1:8" ht="13.5" customHeight="1">
      <c r="A47" s="94"/>
      <c r="B47" s="12"/>
      <c r="C47" s="12"/>
      <c r="D47" s="12"/>
    </row>
    <row r="48" spans="1:8" ht="13.5" customHeight="1">
      <c r="A48" s="88" t="s">
        <v>59</v>
      </c>
      <c r="B48" s="32">
        <v>24616</v>
      </c>
      <c r="C48" s="32">
        <f>C4+(C33-B33)</f>
        <v>30169.31506849315</v>
      </c>
      <c r="D48" s="32">
        <f>D4+(D33-C33)</f>
        <v>33449.424657534248</v>
      </c>
      <c r="F48" t="s">
        <v>204</v>
      </c>
    </row>
    <row r="49" spans="1:6" ht="13.5" customHeight="1">
      <c r="A49" s="88" t="s">
        <v>125</v>
      </c>
      <c r="B49" s="64"/>
      <c r="C49" s="32">
        <f>C35-B35+C10</f>
        <v>600</v>
      </c>
      <c r="D49" s="32">
        <f>D35-C35+D10</f>
        <v>600</v>
      </c>
      <c r="F49" t="s">
        <v>172</v>
      </c>
    </row>
    <row r="50" spans="1:6" ht="13.5" customHeight="1">
      <c r="A50" s="95"/>
      <c r="B50" s="32"/>
      <c r="C50" s="32"/>
      <c r="D50" s="32"/>
      <c r="F50" s="65"/>
    </row>
    <row r="51" spans="1:6" ht="13.5" customHeight="1" thickBot="1">
      <c r="A51" s="96" t="s">
        <v>126</v>
      </c>
      <c r="B51" s="78">
        <f>B30</f>
        <v>2011</v>
      </c>
      <c r="C51" s="78">
        <f>C30</f>
        <v>2012</v>
      </c>
      <c r="D51" s="78">
        <f>D30</f>
        <v>2013</v>
      </c>
      <c r="E51" s="53"/>
      <c r="F51" s="77" t="str">
        <f>F30</f>
        <v>COAF 2009-11</v>
      </c>
    </row>
    <row r="52" spans="1:6" ht="19.5" customHeight="1">
      <c r="A52" s="97" t="s">
        <v>128</v>
      </c>
      <c r="B52" s="27">
        <f>B62</f>
        <v>5349.0252920775911</v>
      </c>
      <c r="C52" s="27">
        <f>C62</f>
        <v>7364.3028710827548</v>
      </c>
      <c r="D52" s="27">
        <f>D62</f>
        <v>8095.8007130793758</v>
      </c>
      <c r="E52" s="53"/>
      <c r="F52" s="60">
        <f>D52-B52</f>
        <v>2746.7754210017847</v>
      </c>
    </row>
    <row r="53" spans="1:6" ht="13.5" customHeight="1">
      <c r="A53" s="97" t="s">
        <v>129</v>
      </c>
      <c r="B53" s="28">
        <f>B35</f>
        <v>6000</v>
      </c>
      <c r="C53" s="28">
        <f>C35</f>
        <v>6000</v>
      </c>
      <c r="D53" s="28">
        <f>D35</f>
        <v>6000</v>
      </c>
      <c r="E53" s="53"/>
      <c r="F53" s="60">
        <f>D53-B53</f>
        <v>0</v>
      </c>
    </row>
    <row r="54" spans="1:6" ht="13.5" customHeight="1">
      <c r="A54" s="97" t="s">
        <v>288</v>
      </c>
      <c r="B54" s="27">
        <f ca="1">B59+B52+B53</f>
        <v>11349.025292077591</v>
      </c>
      <c r="C54" s="27">
        <f ca="1">C59+C52+C53</f>
        <v>13364.302871082755</v>
      </c>
      <c r="D54" s="27">
        <f ca="1">D59+D52+D53</f>
        <v>14095.800713079376</v>
      </c>
      <c r="E54" s="53"/>
      <c r="F54" s="60"/>
    </row>
    <row r="55" spans="1:6" ht="12" customHeight="1">
      <c r="B55" s="27"/>
      <c r="C55" s="27"/>
      <c r="D55" s="27"/>
      <c r="E55" s="53"/>
      <c r="F55" s="60"/>
    </row>
    <row r="56" spans="1:6" ht="13.5" customHeight="1">
      <c r="A56" s="97" t="s">
        <v>285</v>
      </c>
      <c r="B56" s="27">
        <f>B41+B43</f>
        <v>5266.8842276942623</v>
      </c>
      <c r="C56" s="27">
        <f ca="1">C41+C43</f>
        <v>5725.7653835477704</v>
      </c>
      <c r="D56" s="27">
        <f ca="1">D41+D43</f>
        <v>4881.2292747789161</v>
      </c>
      <c r="E56" s="53"/>
      <c r="F56" s="60">
        <f ca="1">D56-B56</f>
        <v>-385.65495291534626</v>
      </c>
    </row>
    <row r="57" spans="1:6" ht="13.5" customHeight="1">
      <c r="A57" s="97" t="s">
        <v>286</v>
      </c>
      <c r="B57" s="28">
        <f>B44+B45</f>
        <v>6082.1410643833287</v>
      </c>
      <c r="C57" s="28">
        <f ca="1">C44+C45</f>
        <v>7638.5374875349844</v>
      </c>
      <c r="D57" s="28">
        <f ca="1">D44+D45</f>
        <v>9214.5714383004597</v>
      </c>
      <c r="E57" s="53"/>
      <c r="F57" s="60">
        <f ca="1">D57-B57</f>
        <v>3132.430373917131</v>
      </c>
    </row>
    <row r="58" spans="1:6" ht="13.5" customHeight="1">
      <c r="B58" s="27">
        <f>B56+B57</f>
        <v>11349.025292077591</v>
      </c>
      <c r="C58" s="27">
        <f ca="1">C56+C57</f>
        <v>13364.302871082755</v>
      </c>
      <c r="D58" s="27">
        <f ca="1">D56+D57</f>
        <v>14095.800713079376</v>
      </c>
      <c r="E58" s="53"/>
      <c r="F58" s="61"/>
    </row>
    <row r="59" spans="1:6" ht="13.5" customHeight="1">
      <c r="A59" s="52" t="s">
        <v>231</v>
      </c>
      <c r="B59" s="26">
        <f ca="1">B58-B54</f>
        <v>0</v>
      </c>
      <c r="C59" s="26">
        <f ca="1">C58-C54</f>
        <v>0</v>
      </c>
      <c r="D59" s="26">
        <f ca="1">D58-D54</f>
        <v>0</v>
      </c>
      <c r="E59" s="53"/>
      <c r="F59" s="60">
        <f ca="1">D59-B59</f>
        <v>0</v>
      </c>
    </row>
    <row r="60" spans="1:6" ht="13.5" customHeight="1">
      <c r="A60" s="97"/>
      <c r="B60" s="27"/>
      <c r="C60" s="27"/>
      <c r="D60" s="27"/>
      <c r="E60" s="53"/>
      <c r="F60" s="61"/>
    </row>
    <row r="61" spans="1:6" ht="13.5" customHeight="1" thickBot="1">
      <c r="A61" s="96" t="s">
        <v>134</v>
      </c>
      <c r="B61" s="68"/>
      <c r="C61" s="68"/>
      <c r="D61" s="68"/>
      <c r="E61" s="53"/>
      <c r="F61" s="60"/>
    </row>
    <row r="62" spans="1:6" ht="17.25" customHeight="1">
      <c r="A62" s="90" t="s">
        <v>60</v>
      </c>
      <c r="B62" s="69">
        <f>B95+B32+B33-B39-B40</f>
        <v>5349.0252920775911</v>
      </c>
      <c r="C62" s="69">
        <f>C95+C32+C33-C39-C40</f>
        <v>7364.3028710827548</v>
      </c>
      <c r="D62" s="69">
        <f>D95+D32+D33-D39-D40</f>
        <v>8095.8007130793758</v>
      </c>
      <c r="E62" s="53"/>
      <c r="F62" s="60">
        <f>D62-B62</f>
        <v>2746.7754210017847</v>
      </c>
    </row>
    <row r="63" spans="1:6" ht="13.5" customHeight="1">
      <c r="A63" s="90" t="s">
        <v>135</v>
      </c>
      <c r="B63" s="28">
        <f>B43+B44+B45-B35</f>
        <v>2082.1410643833287</v>
      </c>
      <c r="C63" s="28">
        <f ca="1">C43+C44+C45-C35</f>
        <v>3138.5374875349844</v>
      </c>
      <c r="D63" s="28">
        <f ca="1">D43+D44+D45-D35</f>
        <v>4214.5714383004597</v>
      </c>
      <c r="E63" s="53"/>
      <c r="F63" s="60">
        <f ca="1">D63-B63</f>
        <v>2132.430373917131</v>
      </c>
    </row>
    <row r="64" spans="1:6" ht="13.5" customHeight="1">
      <c r="A64" s="90" t="s">
        <v>136</v>
      </c>
      <c r="B64" s="27">
        <f>B63-B62</f>
        <v>-3266.8842276942623</v>
      </c>
      <c r="C64" s="27">
        <f ca="1">C63-C62</f>
        <v>-4225.7653835477704</v>
      </c>
      <c r="D64" s="27">
        <f ca="1">D63-D62</f>
        <v>-3881.2292747789161</v>
      </c>
      <c r="E64" s="53"/>
      <c r="F64" s="60">
        <f ca="1">D64-B64</f>
        <v>-614.34504708465374</v>
      </c>
    </row>
    <row r="65" spans="1:8" ht="13.5" customHeight="1">
      <c r="A65" s="90" t="s">
        <v>199</v>
      </c>
      <c r="B65" s="69"/>
      <c r="C65" s="69"/>
      <c r="D65" s="69"/>
      <c r="E65" s="53"/>
      <c r="F65" s="53"/>
      <c r="G65" s="70"/>
    </row>
    <row r="66" spans="1:8" ht="13.5" customHeight="1">
      <c r="A66" s="88"/>
      <c r="B66" s="32"/>
      <c r="C66" s="32"/>
      <c r="D66" s="32"/>
      <c r="G66" s="70"/>
    </row>
    <row r="67" spans="1:8" ht="13.5" customHeight="1" thickBot="1">
      <c r="A67" s="96" t="s">
        <v>137</v>
      </c>
      <c r="B67" s="78">
        <f>B51</f>
        <v>2011</v>
      </c>
      <c r="C67" s="78">
        <f>C51</f>
        <v>2012</v>
      </c>
      <c r="D67" s="78">
        <f>D51</f>
        <v>2013</v>
      </c>
    </row>
    <row r="68" spans="1:8" ht="13.5" customHeight="1">
      <c r="A68" s="90" t="s">
        <v>138</v>
      </c>
      <c r="B68" s="69">
        <f t="shared" ref="B68:D69" si="0">B32/B3*365</f>
        <v>80</v>
      </c>
      <c r="C68" s="69">
        <f t="shared" si="0"/>
        <v>90</v>
      </c>
      <c r="D68" s="69">
        <f t="shared" si="0"/>
        <v>90</v>
      </c>
      <c r="H68" s="99" t="s">
        <v>173</v>
      </c>
    </row>
    <row r="69" spans="1:8" ht="13.5" customHeight="1">
      <c r="A69" s="90" t="s">
        <v>139</v>
      </c>
      <c r="B69" s="69">
        <f t="shared" si="0"/>
        <v>20</v>
      </c>
      <c r="C69" s="69">
        <f t="shared" si="0"/>
        <v>20</v>
      </c>
      <c r="D69" s="69">
        <f t="shared" si="0"/>
        <v>20</v>
      </c>
      <c r="H69" s="99" t="s">
        <v>145</v>
      </c>
    </row>
    <row r="70" spans="1:8" ht="13.5" customHeight="1">
      <c r="A70" s="90" t="s">
        <v>140</v>
      </c>
      <c r="B70" s="69">
        <f>B39/B48*365</f>
        <v>30.000534233219511</v>
      </c>
      <c r="C70" s="69">
        <f>C39/C48*365</f>
        <v>30.000000000000004</v>
      </c>
      <c r="D70" s="69">
        <f>D39/D48*365</f>
        <v>30.000000000000004</v>
      </c>
    </row>
    <row r="71" spans="1:8" ht="13.5" customHeight="1">
      <c r="A71" s="90" t="s">
        <v>141</v>
      </c>
      <c r="B71" s="54">
        <f>B62/B3</f>
        <v>0.17830084306925303</v>
      </c>
      <c r="C71" s="54">
        <f>C62/C3</f>
        <v>0.20456396864118764</v>
      </c>
      <c r="D71" s="54">
        <f>D62/D3</f>
        <v>0.20443941194644888</v>
      </c>
    </row>
    <row r="72" spans="1:8" ht="13.5" customHeight="1">
      <c r="A72" s="90" t="s">
        <v>142</v>
      </c>
      <c r="B72" s="72">
        <f>(B42+B43)/B57</f>
        <v>1.29742906705332</v>
      </c>
      <c r="C72" s="72">
        <f ca="1">(C42+C43)/C57</f>
        <v>1.1684743486262643</v>
      </c>
      <c r="D72" s="72">
        <f ca="1">(D42+D43)/D57</f>
        <v>0.91404110448827058</v>
      </c>
    </row>
    <row r="73" spans="1:8" ht="13.5" customHeight="1">
      <c r="A73" s="90" t="s">
        <v>143</v>
      </c>
      <c r="B73" s="72">
        <f>B56/B9</f>
        <v>1.6827106158767611</v>
      </c>
      <c r="C73" s="72">
        <f ca="1">C56/C9</f>
        <v>1.6860322095252562</v>
      </c>
      <c r="D73" s="72">
        <f ca="1">D56/D9</f>
        <v>1.4616209350757325</v>
      </c>
    </row>
    <row r="74" spans="1:8" ht="13.5" customHeight="1">
      <c r="A74" s="90" t="s">
        <v>294</v>
      </c>
      <c r="B74" s="72">
        <f>B56/B15</f>
        <v>3.755841283400879</v>
      </c>
      <c r="C74" s="72">
        <f ca="1">C56/C15</f>
        <v>3.6788605385980437</v>
      </c>
      <c r="D74" s="72">
        <f ca="1">D56/D15</f>
        <v>3.097159977047522</v>
      </c>
      <c r="E74" s="72"/>
    </row>
    <row r="75" spans="1:8" ht="11.25" customHeight="1">
      <c r="A75" s="88"/>
      <c r="B75" s="30"/>
      <c r="C75" s="30"/>
      <c r="D75" s="30"/>
    </row>
    <row r="76" spans="1:8" ht="11.25" customHeight="1">
      <c r="A76" s="31" t="s">
        <v>264</v>
      </c>
      <c r="B76" s="32"/>
      <c r="D76" s="32"/>
    </row>
    <row r="77" spans="1:8" ht="11.25" customHeight="1">
      <c r="A77" s="31" t="s">
        <v>205</v>
      </c>
      <c r="B77" s="33"/>
      <c r="C77" s="33"/>
      <c r="D77" s="33"/>
    </row>
    <row r="78" spans="1:8" ht="11.25" customHeight="1">
      <c r="A78" s="31" t="s">
        <v>206</v>
      </c>
    </row>
    <row r="79" spans="1:8" ht="11.25" customHeight="1">
      <c r="A79" s="31" t="s">
        <v>5</v>
      </c>
      <c r="B79" s="33"/>
      <c r="C79" s="35">
        <v>0.2</v>
      </c>
      <c r="D79" s="35">
        <v>0.1</v>
      </c>
    </row>
    <row r="80" spans="1:8" ht="11.25" customHeight="1">
      <c r="A80" s="31" t="s">
        <v>200</v>
      </c>
      <c r="B80" s="36">
        <v>0.82</v>
      </c>
      <c r="C80" s="36">
        <v>0.83</v>
      </c>
      <c r="D80" s="36">
        <v>0.84</v>
      </c>
    </row>
    <row r="81" spans="1:4" ht="11.25" customHeight="1">
      <c r="A81" s="31" t="s">
        <v>270</v>
      </c>
      <c r="B81" s="36"/>
      <c r="C81" s="36">
        <f>C79</f>
        <v>0.2</v>
      </c>
      <c r="D81" s="36">
        <f>D79</f>
        <v>0.1</v>
      </c>
    </row>
    <row r="82" spans="1:4" ht="11.25" customHeight="1">
      <c r="A82" s="31" t="s">
        <v>271</v>
      </c>
      <c r="B82" s="37"/>
      <c r="C82" s="36">
        <f>C79</f>
        <v>0.2</v>
      </c>
      <c r="D82" s="36">
        <f>D79</f>
        <v>0.1</v>
      </c>
    </row>
    <row r="83" spans="1:4" ht="11.25" customHeight="1">
      <c r="A83" s="31" t="s">
        <v>1</v>
      </c>
      <c r="B83" s="36">
        <v>0.1</v>
      </c>
      <c r="C83" s="36">
        <v>0.1</v>
      </c>
      <c r="D83" s="36">
        <v>0.1</v>
      </c>
    </row>
    <row r="84" spans="1:4" ht="11.25" customHeight="1">
      <c r="A84" s="31" t="s">
        <v>2</v>
      </c>
      <c r="B84" s="36">
        <v>0.1</v>
      </c>
      <c r="C84" s="38">
        <f>B84</f>
        <v>0.1</v>
      </c>
      <c r="D84" s="38">
        <f>C84</f>
        <v>0.1</v>
      </c>
    </row>
    <row r="85" spans="1:4" ht="11.25" customHeight="1">
      <c r="A85" s="31" t="s">
        <v>3</v>
      </c>
      <c r="B85" s="36">
        <v>0.3</v>
      </c>
      <c r="C85" s="38">
        <f>B85</f>
        <v>0.3</v>
      </c>
      <c r="D85" s="38">
        <f>C85</f>
        <v>0.3</v>
      </c>
    </row>
    <row r="86" spans="1:4" ht="11.25" customHeight="1">
      <c r="A86" s="31"/>
      <c r="B86" s="73"/>
      <c r="C86" s="39"/>
      <c r="D86" s="39"/>
    </row>
    <row r="87" spans="1:4" ht="11.25" customHeight="1">
      <c r="A87" s="31" t="s">
        <v>207</v>
      </c>
    </row>
    <row r="88" spans="1:4" ht="11.25" customHeight="1">
      <c r="A88" s="31" t="s">
        <v>6</v>
      </c>
      <c r="B88" s="40">
        <v>80</v>
      </c>
      <c r="C88" s="40">
        <v>90</v>
      </c>
      <c r="D88" s="40">
        <v>90</v>
      </c>
    </row>
    <row r="89" spans="1:4" ht="11.25" customHeight="1">
      <c r="A89" s="31" t="s">
        <v>9</v>
      </c>
      <c r="B89" s="40">
        <v>20</v>
      </c>
      <c r="C89" s="40">
        <v>20</v>
      </c>
      <c r="D89" s="40">
        <v>20</v>
      </c>
    </row>
    <row r="90" spans="1:4" ht="11.25" customHeight="1">
      <c r="A90" s="31" t="s">
        <v>7</v>
      </c>
      <c r="B90" s="40">
        <v>30</v>
      </c>
      <c r="C90" s="40">
        <v>30</v>
      </c>
      <c r="D90" s="40">
        <v>30</v>
      </c>
    </row>
    <row r="91" spans="1:4" ht="11.25" customHeight="1">
      <c r="A91" s="25" t="s">
        <v>208</v>
      </c>
      <c r="B91" s="40"/>
      <c r="C91" s="64">
        <f>C10</f>
        <v>600</v>
      </c>
      <c r="D91" s="64">
        <f>D10</f>
        <v>600</v>
      </c>
    </row>
    <row r="92" spans="1:4" ht="11.25" customHeight="1">
      <c r="A92" s="31" t="s">
        <v>201</v>
      </c>
      <c r="C92" s="35">
        <v>0.02</v>
      </c>
      <c r="D92" s="35">
        <v>0.02</v>
      </c>
    </row>
    <row r="93" spans="1:4" ht="11.25" customHeight="1">
      <c r="A93" s="31" t="s">
        <v>265</v>
      </c>
      <c r="B93" s="40"/>
      <c r="C93" s="40">
        <v>-500</v>
      </c>
      <c r="D93" s="40">
        <v>-500</v>
      </c>
    </row>
    <row r="94" spans="1:4" ht="11.25" customHeight="1">
      <c r="A94" s="31" t="s">
        <v>202</v>
      </c>
      <c r="B94" s="40">
        <v>0</v>
      </c>
      <c r="C94" s="40">
        <v>0</v>
      </c>
      <c r="D94" s="40">
        <v>0</v>
      </c>
    </row>
    <row r="95" spans="1:4" ht="11.25" customHeight="1">
      <c r="A95" s="31" t="s">
        <v>203</v>
      </c>
      <c r="B95" s="40">
        <v>50</v>
      </c>
      <c r="C95" s="40">
        <v>50</v>
      </c>
      <c r="D95" s="40">
        <v>50</v>
      </c>
    </row>
    <row r="96" spans="1:4" ht="11.25" customHeight="1">
      <c r="A96" s="6"/>
      <c r="B96" s="6"/>
      <c r="C96" s="6"/>
      <c r="D96" s="6"/>
    </row>
    <row r="97" spans="1:4" ht="11.25" customHeight="1">
      <c r="A97" s="6"/>
      <c r="B97" s="6"/>
      <c r="C97" s="6"/>
      <c r="D97" s="6"/>
    </row>
    <row r="98" spans="1:4" ht="11.25" customHeight="1">
      <c r="A98" s="6"/>
      <c r="B98" s="6"/>
      <c r="C98" s="6"/>
      <c r="D98" s="6"/>
    </row>
    <row r="99" spans="1:4" ht="11.25" customHeight="1">
      <c r="A99" s="6"/>
      <c r="B99" s="6"/>
      <c r="C99" s="6"/>
      <c r="D99" s="6"/>
    </row>
    <row r="100" spans="1:4" ht="11.25" customHeight="1">
      <c r="A100" s="6"/>
      <c r="B100" s="6"/>
      <c r="C100" s="6"/>
      <c r="D100" s="6"/>
    </row>
    <row r="101" spans="1:4" ht="11.25" customHeight="1">
      <c r="A101" s="6"/>
      <c r="B101" s="6"/>
      <c r="C101" s="6"/>
      <c r="D101" s="6"/>
    </row>
    <row r="102" spans="1:4" ht="11.25" customHeight="1">
      <c r="A102" s="6"/>
      <c r="B102" s="6"/>
      <c r="C102" s="6"/>
      <c r="D102" s="6"/>
    </row>
    <row r="103" spans="1:4" ht="11.25" customHeight="1">
      <c r="A103" s="6"/>
      <c r="B103" s="6"/>
      <c r="C103" s="6"/>
      <c r="D103" s="6"/>
    </row>
    <row r="104" spans="1:4" ht="11.25" customHeight="1">
      <c r="A104" s="6"/>
      <c r="B104" s="6"/>
      <c r="C104" s="6"/>
      <c r="D104" s="6"/>
    </row>
    <row r="105" spans="1:4" ht="11.25" customHeight="1">
      <c r="A105" s="6"/>
      <c r="B105" s="6"/>
      <c r="C105" s="6"/>
      <c r="D105" s="6"/>
    </row>
    <row r="106" spans="1:4" ht="11.25" customHeight="1">
      <c r="A106" s="6"/>
      <c r="B106" s="6"/>
      <c r="C106" s="6"/>
      <c r="D106" s="6"/>
    </row>
    <row r="107" spans="1:4" ht="11.25" customHeight="1">
      <c r="B107" s="21"/>
      <c r="C107" s="21"/>
      <c r="D107" s="12"/>
    </row>
    <row r="108" spans="1:4" ht="11.25" customHeight="1">
      <c r="B108" s="21"/>
      <c r="C108" s="21"/>
      <c r="D108" s="12"/>
    </row>
    <row r="109" spans="1:4" ht="11.25" customHeight="1">
      <c r="B109" s="21"/>
      <c r="C109" s="21"/>
      <c r="D109" s="21"/>
    </row>
    <row r="110" spans="1:4" ht="11.25" customHeight="1"/>
    <row r="111" spans="1:4">
      <c r="B111" s="41"/>
      <c r="C111" s="41"/>
      <c r="D111" s="41"/>
    </row>
    <row r="112" spans="1:4">
      <c r="B112" s="41"/>
      <c r="C112" s="41"/>
      <c r="D112" s="41"/>
    </row>
    <row r="113" spans="2:4">
      <c r="B113" s="41"/>
      <c r="C113" s="41"/>
      <c r="D113" s="41"/>
    </row>
    <row r="114" spans="2:4">
      <c r="B114" s="41"/>
      <c r="C114" s="42"/>
      <c r="D114" s="42"/>
    </row>
    <row r="115" spans="2:4">
      <c r="B115" s="41"/>
      <c r="C115" s="42"/>
      <c r="D115" s="42"/>
    </row>
    <row r="116" spans="2:4">
      <c r="C116" s="21"/>
      <c r="D116" s="21"/>
    </row>
    <row r="117" spans="2:4">
      <c r="C117" s="21"/>
      <c r="D117" s="21"/>
    </row>
  </sheetData>
  <phoneticPr fontId="5" type="noConversion"/>
  <printOptions gridLinesSet="0"/>
  <pageMargins left="0.95" right="0.32" top="0.62" bottom="0.59" header="0.5" footer="0.5"/>
  <pageSetup paperSize="9" orientation="portrait" horizontalDpi="4294967292" verticalDpi="4294967292" r:id="rId1"/>
  <headerFooter alignWithMargins="0"/>
  <rowBreaks count="2" manualBreakCount="2">
    <brk id="27" max="7" man="1"/>
    <brk id="7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47"/>
  <sheetViews>
    <sheetView showGridLines="0" view="pageBreakPreview" topLeftCell="A37" zoomScaleNormal="100" zoomScaleSheetLayoutView="100" workbookViewId="0">
      <selection activeCell="F48" sqref="F48"/>
    </sheetView>
  </sheetViews>
  <sheetFormatPr defaultColWidth="11.3984375" defaultRowHeight="13.5" customHeight="1"/>
  <cols>
    <col min="1" max="1" width="26.09765625" style="88" customWidth="1"/>
    <col min="2" max="4" width="11.3984375" style="108" customWidth="1"/>
    <col min="5" max="5" width="4.09765625" style="110" customWidth="1"/>
    <col min="6" max="6" width="7.59765625" style="110" customWidth="1"/>
    <col min="7" max="7" width="4.8984375" style="110" customWidth="1"/>
    <col min="8" max="8" width="9.19921875" style="110" customWidth="1"/>
    <col min="9" max="9" width="9.59765625" style="110" customWidth="1"/>
    <col min="10" max="10" width="11.3984375" style="110"/>
    <col min="11" max="11" width="12.19921875" style="110" bestFit="1" customWidth="1"/>
    <col min="12" max="16384" width="11.3984375" style="110"/>
  </cols>
  <sheetData>
    <row r="1" spans="1:29" ht="18.75" customHeight="1">
      <c r="A1" s="3" t="s">
        <v>188</v>
      </c>
      <c r="C1" s="109"/>
      <c r="D1" s="109"/>
      <c r="H1" s="170" t="s">
        <v>61</v>
      </c>
      <c r="I1" s="170" t="s">
        <v>61</v>
      </c>
      <c r="K1" s="111"/>
    </row>
    <row r="2" spans="1:29" ht="16.5" customHeight="1" thickBot="1">
      <c r="A2" s="187" t="s">
        <v>189</v>
      </c>
      <c r="B2" s="173">
        <v>2008</v>
      </c>
      <c r="C2" s="173">
        <f>B2+1</f>
        <v>2009</v>
      </c>
      <c r="D2" s="173">
        <f>C2+1</f>
        <v>2010</v>
      </c>
      <c r="H2" s="171">
        <f>D2+1</f>
        <v>2011</v>
      </c>
      <c r="I2" s="171">
        <f>H2+1</f>
        <v>2012</v>
      </c>
      <c r="J2" s="158"/>
      <c r="K2" s="111"/>
    </row>
    <row r="3" spans="1:29" ht="13.5" customHeight="1">
      <c r="A3" s="188" t="s">
        <v>87</v>
      </c>
      <c r="B3" s="112">
        <v>87000</v>
      </c>
      <c r="C3" s="112">
        <v>84016</v>
      </c>
      <c r="D3" s="112">
        <v>74233</v>
      </c>
      <c r="F3" s="1"/>
      <c r="G3" s="1"/>
      <c r="H3" s="185">
        <f>D3*(1+H19)</f>
        <v>77944.650000000009</v>
      </c>
      <c r="I3" s="185">
        <f>H3*(1+I19)</f>
        <v>81841.882500000007</v>
      </c>
      <c r="K3" s="62"/>
      <c r="L3" s="114"/>
      <c r="M3" s="114"/>
    </row>
    <row r="4" spans="1:29" s="115" customFormat="1" ht="13.5" customHeight="1">
      <c r="A4" s="189" t="s">
        <v>57</v>
      </c>
      <c r="B4" s="113">
        <v>63895</v>
      </c>
      <c r="C4" s="113">
        <v>60810</v>
      </c>
      <c r="D4" s="113">
        <v>53350</v>
      </c>
      <c r="E4" s="114"/>
      <c r="F4" s="1"/>
      <c r="G4" s="1"/>
      <c r="H4" s="186">
        <f>H3-H5</f>
        <v>55730.424750000006</v>
      </c>
      <c r="I4" s="186">
        <f>I3-I5</f>
        <v>58516.945987500003</v>
      </c>
      <c r="J4" s="114"/>
      <c r="K4" s="6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114" customFormat="1" ht="13.5" customHeight="1">
      <c r="A5" s="149" t="s">
        <v>90</v>
      </c>
      <c r="B5" s="112">
        <f>B3-B4</f>
        <v>23105</v>
      </c>
      <c r="C5" s="152">
        <f>C3-C4</f>
        <v>23206</v>
      </c>
      <c r="D5" s="112">
        <f>D3-D4</f>
        <v>20883</v>
      </c>
      <c r="F5" s="1"/>
      <c r="G5" s="1"/>
      <c r="H5" s="185">
        <f>H3*H20</f>
        <v>22214.22525</v>
      </c>
      <c r="I5" s="185">
        <f>I3*I20</f>
        <v>23324.9365125</v>
      </c>
      <c r="K5" s="62"/>
    </row>
    <row r="6" spans="1:29" ht="13.5" customHeight="1">
      <c r="A6" s="190" t="s">
        <v>155</v>
      </c>
      <c r="B6" s="116">
        <f>16640-6264</f>
        <v>10376</v>
      </c>
      <c r="C6" s="128">
        <f>15455-4126</f>
        <v>11329</v>
      </c>
      <c r="D6" s="116">
        <f>13534-3334</f>
        <v>10200</v>
      </c>
      <c r="E6" s="114"/>
      <c r="F6" s="1"/>
      <c r="G6" s="1"/>
      <c r="H6" s="185"/>
      <c r="I6" s="185"/>
      <c r="K6" s="46"/>
      <c r="L6" s="114"/>
      <c r="M6" s="114"/>
      <c r="N6" s="114"/>
      <c r="O6" s="114"/>
      <c r="P6" s="114"/>
    </row>
    <row r="7" spans="1:29" ht="13.5" customHeight="1">
      <c r="A7" s="147" t="s">
        <v>154</v>
      </c>
      <c r="B7" s="116">
        <v>6782</v>
      </c>
      <c r="C7" s="128">
        <v>5819</v>
      </c>
      <c r="D7" s="116">
        <f>5067</f>
        <v>5067</v>
      </c>
      <c r="F7" s="1"/>
      <c r="G7" s="1"/>
      <c r="H7" s="185"/>
      <c r="I7" s="185"/>
      <c r="K7" s="46"/>
      <c r="L7" s="114"/>
      <c r="M7" s="114"/>
      <c r="N7" s="114"/>
      <c r="O7" s="114"/>
      <c r="P7" s="114"/>
    </row>
    <row r="8" spans="1:29" ht="13.5" customHeight="1">
      <c r="A8" s="154" t="s">
        <v>181</v>
      </c>
      <c r="B8" s="113">
        <f>B6+B7</f>
        <v>17158</v>
      </c>
      <c r="C8" s="153">
        <f>C6+C7</f>
        <v>17148</v>
      </c>
      <c r="D8" s="113">
        <f>D6+D7</f>
        <v>15267</v>
      </c>
      <c r="F8" s="114"/>
      <c r="G8" s="114"/>
      <c r="H8" s="186">
        <f>D8*(1+H22)</f>
        <v>15267</v>
      </c>
      <c r="I8" s="186">
        <f>H8*(1+I22)</f>
        <v>15572.34</v>
      </c>
      <c r="K8" s="46"/>
      <c r="L8" s="114"/>
      <c r="M8" s="114"/>
    </row>
    <row r="9" spans="1:29" ht="13.5" customHeight="1">
      <c r="A9" s="83" t="s">
        <v>29</v>
      </c>
      <c r="B9" s="116">
        <f>B5-B8</f>
        <v>5947</v>
      </c>
      <c r="C9" s="128">
        <f>C5-C8</f>
        <v>6058</v>
      </c>
      <c r="D9" s="116">
        <f>D5-D8</f>
        <v>5616</v>
      </c>
      <c r="F9" s="1"/>
      <c r="G9" s="1"/>
      <c r="H9" s="185">
        <f>H5-H8</f>
        <v>6947.2252499999995</v>
      </c>
      <c r="I9" s="185">
        <f>I5-I8</f>
        <v>7752.5965125000002</v>
      </c>
      <c r="K9" s="62"/>
      <c r="L9" s="114"/>
      <c r="M9" s="114"/>
    </row>
    <row r="10" spans="1:29" ht="13.5" customHeight="1">
      <c r="A10" s="191" t="s">
        <v>2</v>
      </c>
      <c r="B10" s="113">
        <v>6264</v>
      </c>
      <c r="C10" s="153">
        <v>4126</v>
      </c>
      <c r="D10" s="113">
        <v>3334</v>
      </c>
      <c r="F10" s="1"/>
      <c r="G10" s="1"/>
      <c r="H10" s="186">
        <f>D10</f>
        <v>3334</v>
      </c>
      <c r="I10" s="186">
        <f>H10</f>
        <v>3334</v>
      </c>
      <c r="K10" s="62"/>
      <c r="L10" s="114"/>
      <c r="M10" s="114"/>
    </row>
    <row r="11" spans="1:29" ht="13.5" customHeight="1">
      <c r="A11" s="83" t="s">
        <v>16</v>
      </c>
      <c r="B11" s="112">
        <f>B9-B10</f>
        <v>-317</v>
      </c>
      <c r="C11" s="112">
        <f>C9-C10</f>
        <v>1932</v>
      </c>
      <c r="D11" s="112">
        <f>D9-D10</f>
        <v>2282</v>
      </c>
      <c r="F11" s="1"/>
      <c r="G11" s="1"/>
      <c r="H11" s="185">
        <f>H9-H10</f>
        <v>3613.2252499999995</v>
      </c>
      <c r="I11" s="185">
        <f>I9-I10</f>
        <v>4418.5965125000002</v>
      </c>
      <c r="K11" s="62"/>
      <c r="L11" s="114"/>
      <c r="M11" s="114"/>
    </row>
    <row r="12" spans="1:29" ht="13.5" customHeight="1">
      <c r="A12" s="149" t="s">
        <v>190</v>
      </c>
      <c r="B12" s="113">
        <f>2762+49+173-32+43</f>
        <v>2995</v>
      </c>
      <c r="C12" s="113">
        <f>1321-114+18+94+224</f>
        <v>1543</v>
      </c>
      <c r="D12" s="113">
        <f>642+142+61+31+214</f>
        <v>1090</v>
      </c>
      <c r="F12" s="1"/>
      <c r="G12" s="1"/>
      <c r="H12" s="186">
        <v>1500</v>
      </c>
      <c r="I12" s="186">
        <v>1500</v>
      </c>
      <c r="K12" s="62"/>
      <c r="L12" s="114"/>
      <c r="M12" s="114"/>
    </row>
    <row r="13" spans="1:29" ht="13.5" customHeight="1">
      <c r="A13" s="156" t="s">
        <v>17</v>
      </c>
      <c r="B13" s="112">
        <f>B11+B12</f>
        <v>2678</v>
      </c>
      <c r="C13" s="152">
        <f>C11+C12</f>
        <v>3475</v>
      </c>
      <c r="D13" s="112">
        <f>D11+D12</f>
        <v>3372</v>
      </c>
      <c r="F13" s="1"/>
      <c r="G13" s="1"/>
      <c r="H13" s="131">
        <f>H11+H12</f>
        <v>5113.2252499999995</v>
      </c>
      <c r="I13" s="131">
        <f>I11+I12</f>
        <v>5918.5965125000002</v>
      </c>
      <c r="K13" s="62"/>
      <c r="L13" s="114"/>
      <c r="M13" s="114"/>
    </row>
    <row r="14" spans="1:29" ht="13.5" customHeight="1">
      <c r="A14" s="192" t="s">
        <v>3</v>
      </c>
      <c r="B14" s="116">
        <v>781</v>
      </c>
      <c r="C14" s="128">
        <v>849</v>
      </c>
      <c r="D14" s="116">
        <v>867</v>
      </c>
      <c r="F14" s="1"/>
      <c r="G14" s="1"/>
      <c r="H14" s="185">
        <f>0.25*H13</f>
        <v>1278.3063124999999</v>
      </c>
      <c r="I14" s="185">
        <f>0.25*I13</f>
        <v>1479.6491281250001</v>
      </c>
      <c r="K14" s="62"/>
      <c r="L14" s="114"/>
      <c r="M14" s="114"/>
    </row>
    <row r="15" spans="1:29" ht="13.5" customHeight="1">
      <c r="A15" s="193" t="s">
        <v>153</v>
      </c>
      <c r="B15" s="113">
        <v>191</v>
      </c>
      <c r="C15" s="153">
        <v>-29</v>
      </c>
      <c r="D15" s="113">
        <v>-60</v>
      </c>
      <c r="F15" s="1"/>
      <c r="G15" s="1"/>
      <c r="H15" s="186"/>
      <c r="I15" s="186"/>
      <c r="K15" s="62"/>
      <c r="L15" s="114"/>
      <c r="M15" s="114"/>
    </row>
    <row r="16" spans="1:29" ht="13.5" customHeight="1">
      <c r="A16" s="189" t="s">
        <v>191</v>
      </c>
      <c r="B16" s="113">
        <f>B13-B14+B15</f>
        <v>2088</v>
      </c>
      <c r="C16" s="113">
        <f>C13-C14+C15</f>
        <v>2597</v>
      </c>
      <c r="D16" s="113">
        <f>D13-D14+D15</f>
        <v>2445</v>
      </c>
      <c r="F16" s="1"/>
      <c r="G16" s="1"/>
      <c r="H16" s="185">
        <f>H13-H14</f>
        <v>3834.9189374999996</v>
      </c>
      <c r="I16" s="185">
        <f>I13-I14</f>
        <v>4438.9473843750002</v>
      </c>
      <c r="K16" s="62"/>
      <c r="L16" s="114"/>
      <c r="M16" s="114"/>
    </row>
    <row r="17" spans="1:13" ht="13.5" customHeight="1">
      <c r="B17" s="141"/>
      <c r="C17" s="141"/>
      <c r="D17" s="141"/>
      <c r="K17" s="29"/>
    </row>
    <row r="18" spans="1:13" ht="13.5" customHeight="1" thickBot="1">
      <c r="A18" s="89" t="s">
        <v>101</v>
      </c>
      <c r="B18" s="157"/>
      <c r="C18" s="118"/>
      <c r="D18" s="119"/>
      <c r="E18" s="98"/>
      <c r="H18" s="226"/>
      <c r="I18" s="227" t="s">
        <v>263</v>
      </c>
      <c r="K18" s="150"/>
      <c r="L18" s="114"/>
      <c r="M18" s="114"/>
    </row>
    <row r="19" spans="1:13" ht="13.5" customHeight="1">
      <c r="A19" s="90" t="s">
        <v>102</v>
      </c>
      <c r="B19" s="119" t="s">
        <v>147</v>
      </c>
      <c r="C19" s="119">
        <f>C3/B3-1</f>
        <v>-3.4298850574712603E-2</v>
      </c>
      <c r="D19" s="119">
        <f>D3/C3-1</f>
        <v>-0.11644210626547324</v>
      </c>
      <c r="E19" s="98"/>
      <c r="F19" s="98"/>
      <c r="G19" s="98"/>
      <c r="H19" s="228">
        <v>0.05</v>
      </c>
      <c r="I19" s="228">
        <v>0.05</v>
      </c>
      <c r="K19" s="66"/>
      <c r="L19" s="114"/>
      <c r="M19" s="114"/>
    </row>
    <row r="20" spans="1:13" ht="13.5" customHeight="1">
      <c r="A20" s="90" t="s">
        <v>164</v>
      </c>
      <c r="B20" s="165">
        <f>B5/B3</f>
        <v>0.26557471264367816</v>
      </c>
      <c r="C20" s="165">
        <f>C5/C3</f>
        <v>0.2762092934679109</v>
      </c>
      <c r="D20" s="165">
        <f>D5/D3</f>
        <v>0.2813169345169938</v>
      </c>
      <c r="E20" s="98"/>
      <c r="F20" s="98"/>
      <c r="G20" s="98"/>
      <c r="H20" s="229">
        <v>0.28499999999999998</v>
      </c>
      <c r="I20" s="229">
        <v>0.28499999999999998</v>
      </c>
      <c r="K20" s="66"/>
      <c r="L20" s="114"/>
      <c r="M20" s="114"/>
    </row>
    <row r="21" spans="1:13" ht="13.5" customHeight="1">
      <c r="A21" s="17" t="s">
        <v>165</v>
      </c>
      <c r="B21" s="166">
        <f>B8/B3</f>
        <v>0.19721839080459769</v>
      </c>
      <c r="C21" s="166">
        <f>C8/C3</f>
        <v>0.20410398019424872</v>
      </c>
      <c r="D21" s="166">
        <f>D8/D3</f>
        <v>0.20566324949820161</v>
      </c>
      <c r="E21" s="98"/>
      <c r="F21" s="98"/>
      <c r="G21" s="98"/>
      <c r="H21" s="120">
        <f>H8/H3</f>
        <v>0.19586976142685866</v>
      </c>
      <c r="I21" s="120">
        <f>I8/I3</f>
        <v>0.19027348252894841</v>
      </c>
      <c r="K21" s="66"/>
      <c r="L21" s="114"/>
      <c r="M21" s="114"/>
    </row>
    <row r="22" spans="1:13" ht="13.5" customHeight="1">
      <c r="A22" s="56" t="s">
        <v>166</v>
      </c>
      <c r="B22" s="119" t="s">
        <v>147</v>
      </c>
      <c r="C22" s="120">
        <f>C8/B8-1</f>
        <v>-5.8281851031594112E-4</v>
      </c>
      <c r="D22" s="120">
        <f>D8/C8-1</f>
        <v>-0.10969209237228827</v>
      </c>
      <c r="E22" s="98"/>
      <c r="F22" s="98"/>
      <c r="G22" s="98"/>
      <c r="H22" s="228">
        <v>0</v>
      </c>
      <c r="I22" s="228">
        <v>0.02</v>
      </c>
      <c r="K22" s="66"/>
      <c r="L22" s="114"/>
      <c r="M22" s="114"/>
    </row>
    <row r="23" spans="1:13" ht="13.5" customHeight="1">
      <c r="A23" s="90" t="s">
        <v>167</v>
      </c>
      <c r="B23" s="165">
        <f>B9/B3</f>
        <v>6.8356321839080456E-2</v>
      </c>
      <c r="C23" s="165">
        <f>C9/C3</f>
        <v>7.2105313273662153E-2</v>
      </c>
      <c r="D23" s="165">
        <f>D9/D3</f>
        <v>7.5653685018792174E-2</v>
      </c>
      <c r="E23" s="98"/>
      <c r="F23" s="98"/>
      <c r="G23" s="98"/>
      <c r="H23" s="165">
        <f>H9/H3</f>
        <v>8.9130238573141313E-2</v>
      </c>
      <c r="I23" s="165">
        <f>I9/I3</f>
        <v>9.4726517471051569E-2</v>
      </c>
      <c r="K23" s="114"/>
      <c r="L23" s="114"/>
      <c r="M23" s="114"/>
    </row>
    <row r="24" spans="1:13" ht="13.5" customHeight="1">
      <c r="A24" s="91" t="s">
        <v>152</v>
      </c>
      <c r="B24" s="121">
        <f>B16/B3</f>
        <v>2.4E-2</v>
      </c>
      <c r="C24" s="121">
        <f>C16/C3</f>
        <v>3.0910778899257283E-2</v>
      </c>
      <c r="D24" s="121">
        <f>D16/D3</f>
        <v>3.29368340226045E-2</v>
      </c>
      <c r="E24" s="98"/>
      <c r="F24" s="98"/>
      <c r="G24" s="98"/>
      <c r="H24" s="165">
        <f>H16/H3</f>
        <v>4.9200540864575044E-2</v>
      </c>
      <c r="I24" s="165">
        <f>I16/I3</f>
        <v>5.4238089945878261E-2</v>
      </c>
      <c r="K24" s="114"/>
      <c r="L24" s="114"/>
      <c r="M24" s="114"/>
    </row>
    <row r="25" spans="1:13" ht="13.5" customHeight="1">
      <c r="A25" s="90" t="s">
        <v>151</v>
      </c>
      <c r="B25" s="166">
        <f>B16/B44</f>
        <v>8.110627719080174E-2</v>
      </c>
      <c r="C25" s="166">
        <f>C16/C44</f>
        <v>0.12098765432098765</v>
      </c>
      <c r="D25" s="166">
        <f>D16/D44</f>
        <v>0.11162344777209642</v>
      </c>
      <c r="E25" s="98"/>
      <c r="F25" s="98"/>
      <c r="G25" s="98"/>
      <c r="H25" s="120">
        <f>H16/D58</f>
        <v>0.15749800556491025</v>
      </c>
      <c r="I25" s="120">
        <f>I16/H58</f>
        <v>0.16635290321380666</v>
      </c>
      <c r="K25" s="66"/>
      <c r="L25" s="114"/>
      <c r="M25" s="114"/>
    </row>
    <row r="26" spans="1:13" ht="13.5" customHeight="1">
      <c r="A26" s="90" t="s">
        <v>299</v>
      </c>
      <c r="B26" s="120">
        <f>B11/B55</f>
        <v>-4.0348242242191279E-3</v>
      </c>
      <c r="C26" s="120">
        <f>C11/C55</f>
        <v>2.8151364583485116E-2</v>
      </c>
      <c r="D26" s="120">
        <f>D11/D55</f>
        <v>3.3396262311396002E-2</v>
      </c>
      <c r="E26" s="98"/>
      <c r="F26" s="98"/>
      <c r="G26" s="98"/>
      <c r="H26" s="120">
        <f>H11/H55</f>
        <v>5.4415090247855215E-2</v>
      </c>
      <c r="I26" s="120">
        <f>I11/I55</f>
        <v>6.5581679378436258E-2</v>
      </c>
      <c r="K26" s="151"/>
      <c r="L26" s="114"/>
      <c r="M26" s="114"/>
    </row>
    <row r="27" spans="1:13" ht="13.5" customHeight="1">
      <c r="A27" s="90" t="s">
        <v>261</v>
      </c>
      <c r="B27" s="122">
        <f>B16+B10</f>
        <v>8352</v>
      </c>
      <c r="C27" s="122">
        <f>C16+C10</f>
        <v>6723</v>
      </c>
      <c r="D27" s="122">
        <f>D16+D10</f>
        <v>5779</v>
      </c>
      <c r="E27" s="98"/>
      <c r="F27" s="98"/>
      <c r="G27" s="98"/>
      <c r="H27" s="134">
        <f>H16+H10</f>
        <v>7168.9189374999996</v>
      </c>
      <c r="I27" s="134">
        <f>I16+I10</f>
        <v>7772.9473843750002</v>
      </c>
      <c r="K27" s="66"/>
      <c r="L27" s="114"/>
      <c r="M27" s="114"/>
    </row>
    <row r="28" spans="1:13" ht="13.5" customHeight="1">
      <c r="A28" s="90"/>
      <c r="B28" s="123"/>
      <c r="C28" s="123"/>
      <c r="D28" s="123"/>
      <c r="E28" s="98"/>
      <c r="F28" s="98"/>
      <c r="G28" s="98"/>
      <c r="H28" s="168"/>
      <c r="I28" s="168"/>
      <c r="K28" s="66"/>
      <c r="L28" s="114"/>
      <c r="M28" s="114"/>
    </row>
    <row r="29" spans="1:13" ht="13.5" customHeight="1">
      <c r="B29" s="124"/>
      <c r="C29" s="124"/>
      <c r="D29" s="124"/>
    </row>
    <row r="30" spans="1:13" ht="17.25" customHeight="1" thickBot="1">
      <c r="A30" s="3" t="s">
        <v>193</v>
      </c>
      <c r="B30" s="174">
        <f>B2</f>
        <v>2008</v>
      </c>
      <c r="C30" s="174">
        <f>C2</f>
        <v>2009</v>
      </c>
      <c r="D30" s="210">
        <f>D2</f>
        <v>2010</v>
      </c>
      <c r="E30" s="211"/>
      <c r="F30" s="208" t="s">
        <v>198</v>
      </c>
      <c r="G30" s="169"/>
    </row>
    <row r="31" spans="1:13" ht="13.5" customHeight="1">
      <c r="A31" s="81" t="s">
        <v>106</v>
      </c>
      <c r="B31" s="112">
        <f>7802+791</f>
        <v>8593</v>
      </c>
      <c r="C31" s="112">
        <f>11196+399</f>
        <v>11595</v>
      </c>
      <c r="D31" s="112">
        <f>12149+650</f>
        <v>12799</v>
      </c>
      <c r="F31" s="159">
        <f>D31-B31</f>
        <v>4206</v>
      </c>
      <c r="G31" s="159"/>
    </row>
    <row r="32" spans="1:13" ht="13.5" customHeight="1">
      <c r="A32" s="87" t="s">
        <v>58</v>
      </c>
      <c r="B32" s="116">
        <f>17734+1113+10167</f>
        <v>29014</v>
      </c>
      <c r="C32" s="116">
        <f>15230+1212+5353</f>
        <v>21795</v>
      </c>
      <c r="D32" s="116">
        <v>20324</v>
      </c>
      <c r="F32" s="159">
        <f>D32-B32</f>
        <v>-8690</v>
      </c>
      <c r="G32" s="159"/>
      <c r="K32" s="110">
        <v>20324</v>
      </c>
    </row>
    <row r="33" spans="1:11" ht="13.5" customHeight="1">
      <c r="A33" s="87" t="s">
        <v>109</v>
      </c>
      <c r="B33" s="116">
        <v>13406</v>
      </c>
      <c r="C33" s="116">
        <v>10672</v>
      </c>
      <c r="D33" s="116">
        <v>10366</v>
      </c>
      <c r="F33" s="159">
        <f>D33-B33</f>
        <v>-3040</v>
      </c>
      <c r="G33" s="159"/>
      <c r="K33" s="110">
        <v>10366</v>
      </c>
    </row>
    <row r="34" spans="1:11" ht="13.5" customHeight="1">
      <c r="A34" s="81" t="s">
        <v>111</v>
      </c>
      <c r="B34" s="112">
        <f>SUM(B31:B33)</f>
        <v>51013</v>
      </c>
      <c r="C34" s="112">
        <f>SUM(C31:C33)</f>
        <v>44062</v>
      </c>
      <c r="D34" s="112">
        <f>SUM(D31:D33)</f>
        <v>43489</v>
      </c>
      <c r="F34" s="159"/>
      <c r="G34" s="159"/>
    </row>
    <row r="35" spans="1:11" ht="13.5" customHeight="1">
      <c r="A35" s="82" t="s">
        <v>112</v>
      </c>
      <c r="B35" s="113">
        <f>90118-51013</f>
        <v>39105</v>
      </c>
      <c r="C35" s="113">
        <f>77939-44062</f>
        <v>33877</v>
      </c>
      <c r="D35" s="113">
        <f>77605-43489</f>
        <v>34116</v>
      </c>
      <c r="F35" s="159">
        <f>D35-B35</f>
        <v>-4989</v>
      </c>
      <c r="G35" s="159"/>
    </row>
    <row r="36" spans="1:11" ht="13.5" customHeight="1">
      <c r="A36" s="82" t="s">
        <v>114</v>
      </c>
      <c r="B36" s="126">
        <f>B34+B35</f>
        <v>90118</v>
      </c>
      <c r="C36" s="126">
        <f>C34+C35</f>
        <v>77939</v>
      </c>
      <c r="D36" s="126">
        <f>D34+D35</f>
        <v>77605</v>
      </c>
      <c r="F36" s="159"/>
      <c r="G36" s="159"/>
    </row>
    <row r="37" spans="1:11" ht="13.5" customHeight="1">
      <c r="B37" s="108" t="s">
        <v>4</v>
      </c>
      <c r="F37" s="160"/>
      <c r="G37" s="160"/>
    </row>
    <row r="38" spans="1:11" ht="13.5" customHeight="1">
      <c r="A38" s="3" t="s">
        <v>194</v>
      </c>
      <c r="D38" s="127"/>
      <c r="F38" s="160"/>
      <c r="G38" s="160"/>
    </row>
    <row r="39" spans="1:11" ht="13.5" customHeight="1">
      <c r="A39" s="81" t="s">
        <v>115</v>
      </c>
      <c r="B39" s="112">
        <v>10798</v>
      </c>
      <c r="C39" s="112">
        <v>8649</v>
      </c>
      <c r="D39" s="112">
        <v>8404</v>
      </c>
      <c r="F39" s="159">
        <f>D39-B39</f>
        <v>-2394</v>
      </c>
      <c r="G39" s="159"/>
      <c r="K39" s="110">
        <v>8404</v>
      </c>
    </row>
    <row r="40" spans="1:11" ht="13.5" customHeight="1">
      <c r="A40" s="106" t="s">
        <v>175</v>
      </c>
      <c r="B40" s="116">
        <v>754</v>
      </c>
      <c r="C40" s="116">
        <v>661</v>
      </c>
      <c r="D40" s="116">
        <v>870</v>
      </c>
      <c r="F40" s="159">
        <f>D40-B40</f>
        <v>116</v>
      </c>
      <c r="G40" s="159"/>
    </row>
    <row r="41" spans="1:11" ht="13.5" customHeight="1">
      <c r="A41" s="82" t="s">
        <v>117</v>
      </c>
      <c r="B41" s="116">
        <f>2637+10864+19471</f>
        <v>32972</v>
      </c>
      <c r="C41" s="116">
        <f>2103+9608+13691</f>
        <v>25402</v>
      </c>
      <c r="D41" s="116">
        <f>1745+8884+12125</f>
        <v>22754</v>
      </c>
      <c r="F41" s="159">
        <f>D41-B41</f>
        <v>-10218</v>
      </c>
      <c r="G41" s="159"/>
    </row>
    <row r="42" spans="1:11" ht="13.5" customHeight="1">
      <c r="A42" s="81" t="s">
        <v>150</v>
      </c>
      <c r="B42" s="112">
        <f>B39+B40+B41</f>
        <v>44524</v>
      </c>
      <c r="C42" s="112">
        <f>C39+C40+C41</f>
        <v>34712</v>
      </c>
      <c r="D42" s="112">
        <f>D39+D40+D41</f>
        <v>32028</v>
      </c>
      <c r="F42" s="159"/>
      <c r="G42" s="159"/>
    </row>
    <row r="43" spans="1:11" ht="13.5" customHeight="1">
      <c r="A43" s="87" t="s">
        <v>119</v>
      </c>
      <c r="B43" s="116">
        <f>9973+4721+111+2957</f>
        <v>17762</v>
      </c>
      <c r="C43" s="116">
        <f>10243+5326+195+3401</f>
        <v>19165</v>
      </c>
      <c r="D43" s="116">
        <f>11433+5843+534+3418</f>
        <v>21228</v>
      </c>
      <c r="F43" s="159">
        <f>D43-B43</f>
        <v>3466</v>
      </c>
      <c r="G43" s="159"/>
    </row>
    <row r="44" spans="1:11" ht="13.5" customHeight="1">
      <c r="A44" s="87" t="s">
        <v>121</v>
      </c>
      <c r="B44" s="116">
        <f>23812+4020-2088</f>
        <v>25744</v>
      </c>
      <c r="C44" s="116">
        <f>23521+541-2597</f>
        <v>21465</v>
      </c>
      <c r="D44" s="116">
        <f>23715-2445+634</f>
        <v>21904</v>
      </c>
      <c r="F44" s="159">
        <f>D44-B44</f>
        <v>-3840</v>
      </c>
      <c r="G44" s="159"/>
    </row>
    <row r="45" spans="1:11" ht="13.5" customHeight="1">
      <c r="A45" s="82" t="s">
        <v>123</v>
      </c>
      <c r="B45" s="113">
        <f>B16</f>
        <v>2088</v>
      </c>
      <c r="C45" s="113">
        <f>C16</f>
        <v>2597</v>
      </c>
      <c r="D45" s="113">
        <f>D16</f>
        <v>2445</v>
      </c>
      <c r="F45" s="159">
        <f>D45-B45</f>
        <v>357</v>
      </c>
      <c r="G45" s="159"/>
    </row>
    <row r="46" spans="1:11" ht="13.5" customHeight="1">
      <c r="A46" s="93" t="s">
        <v>124</v>
      </c>
      <c r="B46" s="126">
        <f>B42+B43+B44+B45</f>
        <v>90118</v>
      </c>
      <c r="C46" s="126">
        <f>C42+C43+C44+C45</f>
        <v>77939</v>
      </c>
      <c r="D46" s="126">
        <f>D42+D43+D44+D45</f>
        <v>77605</v>
      </c>
    </row>
    <row r="47" spans="1:11" ht="13.5" customHeight="1">
      <c r="A47" s="94"/>
      <c r="B47" s="128"/>
      <c r="C47" s="128"/>
      <c r="D47" s="128"/>
    </row>
    <row r="48" spans="1:11" ht="13.5" customHeight="1">
      <c r="A48" s="88" t="s">
        <v>59</v>
      </c>
      <c r="B48" s="129">
        <f>B4</f>
        <v>63895</v>
      </c>
      <c r="C48" s="129">
        <f>C4+(C33-B33)</f>
        <v>58076</v>
      </c>
      <c r="D48" s="129">
        <f>D4+(D33-C33)</f>
        <v>53044</v>
      </c>
      <c r="F48" t="s">
        <v>204</v>
      </c>
      <c r="G48" s="6"/>
      <c r="H48" s="6"/>
    </row>
    <row r="49" spans="1:9" ht="13.5" customHeight="1">
      <c r="A49" s="88" t="s">
        <v>125</v>
      </c>
      <c r="B49" s="129"/>
      <c r="C49" s="129">
        <f>C35-B35+C10</f>
        <v>-1102</v>
      </c>
      <c r="D49" s="129">
        <f>D35-C35+D10</f>
        <v>3573</v>
      </c>
      <c r="F49" t="s">
        <v>172</v>
      </c>
      <c r="G49" s="6"/>
      <c r="H49" s="6"/>
    </row>
    <row r="50" spans="1:9" ht="13.5" customHeight="1">
      <c r="A50" s="95"/>
      <c r="B50" s="129"/>
      <c r="C50" s="129"/>
      <c r="D50" s="129"/>
      <c r="F50" s="130"/>
      <c r="G50" s="130"/>
      <c r="H50" s="170" t="s">
        <v>61</v>
      </c>
      <c r="I50" s="170" t="s">
        <v>61</v>
      </c>
    </row>
    <row r="51" spans="1:9" ht="18.75" customHeight="1" thickBot="1">
      <c r="A51" s="96" t="s">
        <v>126</v>
      </c>
      <c r="B51" s="177">
        <f t="shared" ref="B51:D52" si="0">B30</f>
        <v>2008</v>
      </c>
      <c r="C51" s="177">
        <f t="shared" si="0"/>
        <v>2009</v>
      </c>
      <c r="D51" s="177">
        <f t="shared" si="0"/>
        <v>2010</v>
      </c>
      <c r="E51" s="212"/>
      <c r="F51" s="209" t="s">
        <v>198</v>
      </c>
      <c r="G51" s="169"/>
      <c r="H51" s="183">
        <f>D30+1</f>
        <v>2011</v>
      </c>
      <c r="I51" s="183">
        <f>H51+1</f>
        <v>2012</v>
      </c>
    </row>
    <row r="52" spans="1:9" ht="13.5" customHeight="1">
      <c r="A52" s="90" t="s">
        <v>127</v>
      </c>
      <c r="B52" s="131">
        <f t="shared" si="0"/>
        <v>8593</v>
      </c>
      <c r="C52" s="131">
        <f t="shared" si="0"/>
        <v>11595</v>
      </c>
      <c r="D52" s="131">
        <f t="shared" si="0"/>
        <v>12799</v>
      </c>
      <c r="E52" s="98"/>
      <c r="F52" s="159">
        <f>D52-B52</f>
        <v>4206</v>
      </c>
      <c r="G52" s="159"/>
      <c r="H52" s="159">
        <f>D52</f>
        <v>12799</v>
      </c>
      <c r="I52" s="159">
        <f>H52</f>
        <v>12799</v>
      </c>
    </row>
    <row r="53" spans="1:9" ht="13.5" customHeight="1">
      <c r="A53" s="97" t="s">
        <v>128</v>
      </c>
      <c r="B53" s="131">
        <f>B32+B33-B39-B40</f>
        <v>30868</v>
      </c>
      <c r="C53" s="131">
        <f>C32+C33-C39-C40</f>
        <v>23157</v>
      </c>
      <c r="D53" s="131">
        <f>D32+D33-D39-D40</f>
        <v>21416</v>
      </c>
      <c r="E53" s="98"/>
      <c r="F53" s="159">
        <f>D53-B53</f>
        <v>-9452</v>
      </c>
      <c r="G53" s="159"/>
      <c r="H53" s="159">
        <f>H72*H3</f>
        <v>19486.162500000002</v>
      </c>
      <c r="I53" s="159">
        <f>I72*I3</f>
        <v>20460.470625000002</v>
      </c>
    </row>
    <row r="54" spans="1:9" ht="13.5" customHeight="1">
      <c r="A54" s="97" t="s">
        <v>129</v>
      </c>
      <c r="B54" s="132">
        <f>B35</f>
        <v>39105</v>
      </c>
      <c r="C54" s="132">
        <f>C35</f>
        <v>33877</v>
      </c>
      <c r="D54" s="132">
        <f>D35</f>
        <v>34116</v>
      </c>
      <c r="E54" s="98"/>
      <c r="F54" s="159">
        <f>D54-B54</f>
        <v>-4989</v>
      </c>
      <c r="G54" s="159"/>
      <c r="H54" s="181">
        <f>D54</f>
        <v>34116</v>
      </c>
      <c r="I54" s="181">
        <f>H54</f>
        <v>34116</v>
      </c>
    </row>
    <row r="55" spans="1:9" ht="13.5" customHeight="1">
      <c r="A55" s="97" t="s">
        <v>130</v>
      </c>
      <c r="B55" s="131">
        <f>B52+B53+B54</f>
        <v>78566</v>
      </c>
      <c r="C55" s="131">
        <f>C52+C53+C54</f>
        <v>68629</v>
      </c>
      <c r="D55" s="131">
        <f>D52+D53+D54</f>
        <v>68331</v>
      </c>
      <c r="E55" s="98"/>
      <c r="F55" s="159"/>
      <c r="G55" s="159"/>
      <c r="H55" s="180">
        <f>H52+H53+H54</f>
        <v>66401.162500000006</v>
      </c>
      <c r="I55" s="180">
        <f>I52+I53+I54</f>
        <v>67375.470625000002</v>
      </c>
    </row>
    <row r="56" spans="1:9" ht="13.5" customHeight="1">
      <c r="A56" s="97"/>
      <c r="B56" s="131"/>
      <c r="C56" s="131"/>
      <c r="D56" s="131"/>
      <c r="E56" s="98"/>
      <c r="F56" s="159"/>
      <c r="G56" s="159"/>
      <c r="H56" s="159"/>
      <c r="I56" s="159"/>
    </row>
    <row r="57" spans="1:9" ht="13.5" customHeight="1">
      <c r="A57" s="97" t="s">
        <v>281</v>
      </c>
      <c r="B57" s="131">
        <f>B41+B43</f>
        <v>50734</v>
      </c>
      <c r="C57" s="131">
        <f>C41+C43</f>
        <v>44567</v>
      </c>
      <c r="D57" s="131">
        <f>D41+D43</f>
        <v>43982</v>
      </c>
      <c r="E57" s="98"/>
      <c r="F57" s="159">
        <f>D57-B57</f>
        <v>-6752</v>
      </c>
      <c r="G57" s="159"/>
      <c r="H57" s="159">
        <f>H55-H58</f>
        <v>39717.243562500007</v>
      </c>
      <c r="I57" s="159">
        <f>I55-I58</f>
        <v>37752.604303125001</v>
      </c>
    </row>
    <row r="58" spans="1:9" ht="13.5" customHeight="1">
      <c r="A58" s="97" t="s">
        <v>132</v>
      </c>
      <c r="B58" s="132">
        <f>B44+B45</f>
        <v>27832</v>
      </c>
      <c r="C58" s="132">
        <f>C44+C45</f>
        <v>24062</v>
      </c>
      <c r="D58" s="132">
        <f>D44+D45</f>
        <v>24349</v>
      </c>
      <c r="E58" s="98"/>
      <c r="F58" s="159">
        <f>D58-B58</f>
        <v>-3483</v>
      </c>
      <c r="G58" s="159"/>
      <c r="H58" s="181">
        <f>D58-1500+H16</f>
        <v>26683.918937499999</v>
      </c>
      <c r="I58" s="181">
        <f>H58-1500+I16</f>
        <v>29622.866321875001</v>
      </c>
    </row>
    <row r="59" spans="1:9" ht="13.5" customHeight="1">
      <c r="A59" s="97" t="s">
        <v>133</v>
      </c>
      <c r="B59" s="131">
        <f>B57+B58</f>
        <v>78566</v>
      </c>
      <c r="C59" s="131">
        <f>C57+C58</f>
        <v>68629</v>
      </c>
      <c r="D59" s="131">
        <f>D57+D58</f>
        <v>68331</v>
      </c>
      <c r="E59" s="98"/>
      <c r="F59" s="159"/>
      <c r="G59" s="159"/>
      <c r="H59" s="180">
        <f>H57+H58</f>
        <v>66401.162500000006</v>
      </c>
      <c r="I59" s="180">
        <f>I57+I58</f>
        <v>67375.470625000002</v>
      </c>
    </row>
    <row r="60" spans="1:9" ht="13.5" customHeight="1">
      <c r="A60" s="97"/>
      <c r="B60" s="131"/>
      <c r="C60" s="131"/>
      <c r="D60" s="131"/>
      <c r="E60" s="98"/>
      <c r="F60" s="159"/>
      <c r="G60" s="159"/>
      <c r="H60" s="148"/>
      <c r="I60" s="148"/>
    </row>
    <row r="61" spans="1:9" ht="13.5" customHeight="1" thickBot="1">
      <c r="A61" s="96" t="s">
        <v>262</v>
      </c>
      <c r="B61" s="133"/>
      <c r="C61" s="133"/>
      <c r="D61" s="133"/>
      <c r="E61" s="98"/>
      <c r="F61" s="159"/>
      <c r="G61" s="159"/>
      <c r="H61" s="148"/>
      <c r="I61" s="148"/>
    </row>
    <row r="62" spans="1:9" ht="13.5" customHeight="1">
      <c r="A62" s="90" t="s">
        <v>60</v>
      </c>
      <c r="B62" s="134">
        <f>B53</f>
        <v>30868</v>
      </c>
      <c r="C62" s="134">
        <f>C53</f>
        <v>23157</v>
      </c>
      <c r="D62" s="134">
        <f>D53</f>
        <v>21416</v>
      </c>
      <c r="E62" s="98"/>
      <c r="F62" s="159">
        <f>D62-B62</f>
        <v>-9452</v>
      </c>
      <c r="G62" s="159"/>
      <c r="H62" s="148"/>
      <c r="I62" s="148"/>
    </row>
    <row r="63" spans="1:9" ht="13.5" customHeight="1">
      <c r="A63" s="90" t="s">
        <v>135</v>
      </c>
      <c r="B63" s="132">
        <f>B43+B44+B45-B35</f>
        <v>6489</v>
      </c>
      <c r="C63" s="132">
        <f>C43+C44+C45-C35</f>
        <v>9350</v>
      </c>
      <c r="D63" s="132">
        <f>D43+D44+D45-D35</f>
        <v>11461</v>
      </c>
      <c r="E63" s="98"/>
      <c r="F63" s="159">
        <f>D63-B63</f>
        <v>4972</v>
      </c>
      <c r="G63" s="159"/>
      <c r="H63" s="148"/>
      <c r="I63" s="148"/>
    </row>
    <row r="64" spans="1:9" ht="13.5" customHeight="1">
      <c r="A64" s="90" t="s">
        <v>136</v>
      </c>
      <c r="B64" s="131">
        <f>B63-B62</f>
        <v>-24379</v>
      </c>
      <c r="C64" s="131">
        <f>C63-C62</f>
        <v>-13807</v>
      </c>
      <c r="D64" s="131">
        <f>D63-D62</f>
        <v>-9955</v>
      </c>
      <c r="E64" s="98"/>
      <c r="F64" s="159">
        <f>D64-B64</f>
        <v>14424</v>
      </c>
      <c r="G64" s="159"/>
      <c r="H64" s="148"/>
      <c r="I64" s="148"/>
    </row>
    <row r="65" spans="1:9" ht="13.5" customHeight="1">
      <c r="A65" s="90" t="s">
        <v>199</v>
      </c>
      <c r="B65" s="134"/>
      <c r="C65" s="134"/>
      <c r="D65" s="134"/>
      <c r="E65" s="98"/>
      <c r="F65" s="98"/>
      <c r="G65" s="98"/>
      <c r="H65" s="125"/>
    </row>
    <row r="66" spans="1:9" ht="13.5" customHeight="1">
      <c r="A66" s="90" t="s">
        <v>195</v>
      </c>
      <c r="B66" s="134">
        <f>B31-B41</f>
        <v>-24379</v>
      </c>
      <c r="C66" s="134">
        <f>C31-C41</f>
        <v>-13807</v>
      </c>
      <c r="D66" s="134">
        <f>D31-D41</f>
        <v>-9955</v>
      </c>
      <c r="E66" s="98"/>
      <c r="H66" s="125"/>
      <c r="I66" s="99" t="s">
        <v>196</v>
      </c>
    </row>
    <row r="67" spans="1:9" ht="13.5" customHeight="1">
      <c r="B67" s="129"/>
      <c r="C67" s="129"/>
      <c r="D67" s="129"/>
      <c r="H67" s="125"/>
    </row>
    <row r="68" spans="1:9" ht="13.5" customHeight="1" thickBot="1">
      <c r="A68" s="96" t="s">
        <v>137</v>
      </c>
      <c r="H68" s="226"/>
      <c r="I68" s="227" t="s">
        <v>263</v>
      </c>
    </row>
    <row r="69" spans="1:9" ht="13.5" customHeight="1">
      <c r="A69" s="90" t="s">
        <v>138</v>
      </c>
      <c r="B69" s="134">
        <f>B32/B3*360</f>
        <v>120.05793103448276</v>
      </c>
      <c r="C69" s="134">
        <f>C32/C3*360</f>
        <v>93.389354408684056</v>
      </c>
      <c r="D69" s="134">
        <f>D32/D3*360</f>
        <v>98.563172712944365</v>
      </c>
    </row>
    <row r="70" spans="1:9" ht="13.5" customHeight="1">
      <c r="A70" s="90" t="s">
        <v>139</v>
      </c>
      <c r="B70" s="134">
        <f>(B33/B4)*360</f>
        <v>75.532670788011572</v>
      </c>
      <c r="C70" s="134">
        <f>(C33/C4)*360</f>
        <v>63.17908238776517</v>
      </c>
      <c r="D70" s="134">
        <f>(D33/D4)*360</f>
        <v>69.948641049671977</v>
      </c>
    </row>
    <row r="71" spans="1:9" ht="13.5" customHeight="1">
      <c r="A71" s="90" t="s">
        <v>140</v>
      </c>
      <c r="B71" s="134">
        <f>(B39/B4)*360</f>
        <v>60.838563267861332</v>
      </c>
      <c r="C71" s="134">
        <f>(C39/C4)*360</f>
        <v>51.202762703502721</v>
      </c>
      <c r="D71" s="134">
        <f>(D39/D4)*360</f>
        <v>56.709278350515469</v>
      </c>
    </row>
    <row r="72" spans="1:9" ht="13.5" customHeight="1">
      <c r="A72" s="90" t="s">
        <v>141</v>
      </c>
      <c r="B72" s="121">
        <f>B62/B3</f>
        <v>0.35480459770114942</v>
      </c>
      <c r="C72" s="121">
        <f>C62/C3</f>
        <v>0.27562607122452865</v>
      </c>
      <c r="D72" s="121">
        <f>D62/D3</f>
        <v>0.28849702962294399</v>
      </c>
      <c r="H72" s="230">
        <v>0.25</v>
      </c>
      <c r="I72" s="230">
        <v>0.25</v>
      </c>
    </row>
    <row r="73" spans="1:9" ht="13.5" customHeight="1">
      <c r="A73" s="90" t="s">
        <v>273</v>
      </c>
      <c r="B73" s="135">
        <f>(B42+B43)/B58</f>
        <v>2.2379275653923543</v>
      </c>
      <c r="C73" s="135">
        <f>(C42+C43)/C58</f>
        <v>2.2390906824037904</v>
      </c>
      <c r="D73" s="135">
        <f>(D42+D43)/D58</f>
        <v>2.1871945459772477</v>
      </c>
    </row>
    <row r="74" spans="1:9" ht="13.5" customHeight="1">
      <c r="A74" s="225" t="s">
        <v>272</v>
      </c>
      <c r="B74" s="135">
        <f>(B57-B52)/B9</f>
        <v>7.0860938288212543</v>
      </c>
      <c r="C74" s="135">
        <f>(C57-C52)/C9</f>
        <v>5.4427203697589963</v>
      </c>
      <c r="D74" s="135">
        <f>(D57-D52)/D9</f>
        <v>5.5525284900284904</v>
      </c>
      <c r="H74" s="184">
        <f>(H57-H52)/H9</f>
        <v>3.8746755134361028</v>
      </c>
      <c r="I74" s="184">
        <f>(I57-I52)/I9</f>
        <v>3.2187415226486675</v>
      </c>
    </row>
    <row r="75" spans="1:9" ht="13.5" customHeight="1">
      <c r="B75" s="136"/>
      <c r="C75" s="136"/>
      <c r="D75" s="136"/>
    </row>
    <row r="76" spans="1:9" ht="13.5" customHeight="1">
      <c r="A76" s="95"/>
      <c r="B76" s="129"/>
      <c r="D76" s="129"/>
    </row>
    <row r="77" spans="1:9" ht="13.5" customHeight="1">
      <c r="A77" s="95"/>
      <c r="B77" s="167"/>
      <c r="C77" s="167"/>
      <c r="D77" s="167"/>
    </row>
    <row r="78" spans="1:9" ht="13.5" customHeight="1">
      <c r="A78" s="95"/>
    </row>
    <row r="79" spans="1:9" ht="13.5" customHeight="1">
      <c r="A79" s="95"/>
      <c r="B79" s="137"/>
      <c r="C79" s="138"/>
      <c r="D79" s="138"/>
    </row>
    <row r="80" spans="1:9" ht="13.5" customHeight="1">
      <c r="A80" s="95"/>
      <c r="B80" s="139"/>
      <c r="C80" s="139"/>
      <c r="D80" s="139"/>
    </row>
    <row r="81" spans="1:4" ht="13.5" customHeight="1">
      <c r="A81" s="95"/>
      <c r="B81" s="139"/>
      <c r="C81" s="139"/>
      <c r="D81" s="139"/>
    </row>
    <row r="82" spans="1:4" ht="13.5" customHeight="1">
      <c r="A82" s="95"/>
      <c r="B82" s="140"/>
      <c r="C82" s="140"/>
      <c r="D82" s="140"/>
    </row>
    <row r="83" spans="1:4" ht="13.5" customHeight="1">
      <c r="A83" s="95"/>
      <c r="B83" s="110"/>
      <c r="C83" s="139"/>
      <c r="D83" s="139"/>
    </row>
    <row r="84" spans="1:4" ht="13.5" customHeight="1">
      <c r="B84" s="110"/>
      <c r="C84" s="141"/>
      <c r="D84" s="141"/>
    </row>
    <row r="85" spans="1:4" ht="13.5" customHeight="1">
      <c r="B85" s="139"/>
      <c r="C85" s="141"/>
      <c r="D85" s="141"/>
    </row>
    <row r="86" spans="1:4" ht="13.5" customHeight="1">
      <c r="B86" s="139"/>
      <c r="C86" s="141"/>
      <c r="D86" s="141"/>
    </row>
    <row r="87" spans="1:4" ht="13.5" customHeight="1">
      <c r="A87" s="95"/>
      <c r="B87" s="139"/>
      <c r="C87" s="141"/>
      <c r="D87" s="141"/>
    </row>
    <row r="88" spans="1:4" ht="13.5" customHeight="1">
      <c r="B88" s="142"/>
      <c r="C88" s="143"/>
      <c r="D88" s="143"/>
    </row>
    <row r="89" spans="1:4" ht="13.5" customHeight="1">
      <c r="B89" s="142"/>
      <c r="C89" s="143"/>
      <c r="D89" s="143"/>
    </row>
    <row r="90" spans="1:4" ht="13.5" customHeight="1">
      <c r="A90" s="95"/>
    </row>
    <row r="92" spans="1:4" ht="13.5" customHeight="1">
      <c r="A92" s="95"/>
      <c r="B92" s="127"/>
      <c r="C92" s="127"/>
      <c r="D92" s="127"/>
    </row>
    <row r="93" spans="1:4" ht="13.5" customHeight="1">
      <c r="A93" s="95"/>
      <c r="B93" s="127"/>
      <c r="C93" s="127"/>
      <c r="D93" s="127"/>
    </row>
    <row r="94" spans="1:4" ht="13.5" customHeight="1">
      <c r="B94" s="127"/>
      <c r="C94" s="127"/>
      <c r="D94" s="127"/>
    </row>
    <row r="95" spans="1:4" ht="13.5" customHeight="1">
      <c r="B95" s="127"/>
      <c r="C95" s="127"/>
      <c r="D95" s="127"/>
    </row>
    <row r="96" spans="1:4" ht="13.5" customHeight="1">
      <c r="B96" s="127"/>
      <c r="C96" s="127"/>
      <c r="D96" s="127"/>
    </row>
    <row r="97" spans="1:4" ht="13.5" customHeight="1">
      <c r="A97" s="95"/>
      <c r="B97" s="127"/>
      <c r="C97" s="127"/>
      <c r="D97" s="127"/>
    </row>
    <row r="98" spans="1:4" ht="13.5" customHeight="1">
      <c r="B98" s="127"/>
      <c r="C98" s="127"/>
      <c r="D98" s="127"/>
    </row>
    <row r="99" spans="1:4" ht="13.5" customHeight="1">
      <c r="B99" s="127"/>
      <c r="C99" s="127"/>
      <c r="D99" s="127"/>
    </row>
    <row r="100" spans="1:4" ht="13.5" customHeight="1">
      <c r="B100" s="127"/>
      <c r="C100" s="127"/>
      <c r="D100" s="127"/>
    </row>
    <row r="101" spans="1:4" ht="13.5" customHeight="1">
      <c r="A101" s="144"/>
      <c r="B101" s="127"/>
      <c r="C101" s="127"/>
      <c r="D101" s="127"/>
    </row>
    <row r="102" spans="1:4" ht="13.5" customHeight="1">
      <c r="B102" s="127"/>
      <c r="C102" s="127"/>
      <c r="D102" s="127"/>
    </row>
    <row r="103" spans="1:4" ht="13.5" customHeight="1">
      <c r="B103" s="127"/>
      <c r="C103" s="127"/>
      <c r="D103" s="127"/>
    </row>
    <row r="104" spans="1:4" ht="13.5" customHeight="1">
      <c r="A104" s="95"/>
    </row>
    <row r="105" spans="1:4" ht="13.5" customHeight="1">
      <c r="B105" s="110"/>
      <c r="C105" s="110"/>
      <c r="D105" s="110"/>
    </row>
    <row r="106" spans="1:4" ht="13.5" customHeight="1">
      <c r="B106" s="110"/>
      <c r="C106" s="110"/>
      <c r="D106" s="110"/>
    </row>
    <row r="107" spans="1:4" ht="13.5" customHeight="1">
      <c r="A107" s="95"/>
      <c r="B107" s="110"/>
      <c r="C107" s="110"/>
      <c r="D107" s="110"/>
    </row>
    <row r="108" spans="1:4" ht="13.5" customHeight="1">
      <c r="B108" s="110"/>
      <c r="C108" s="110"/>
      <c r="D108" s="110"/>
    </row>
    <row r="109" spans="1:4" ht="13.5" customHeight="1">
      <c r="A109" s="95"/>
      <c r="B109" s="110"/>
      <c r="C109" s="110"/>
      <c r="D109" s="110"/>
    </row>
    <row r="110" spans="1:4" ht="13.5" customHeight="1">
      <c r="A110" s="95"/>
      <c r="B110" s="110"/>
      <c r="C110" s="110"/>
      <c r="D110" s="110"/>
    </row>
    <row r="111" spans="1:4" ht="13.5" customHeight="1">
      <c r="A111" s="95"/>
      <c r="B111" s="110"/>
      <c r="C111" s="110"/>
      <c r="D111" s="110"/>
    </row>
    <row r="112" spans="1:4" ht="13.5" customHeight="1">
      <c r="B112" s="110"/>
      <c r="C112" s="110"/>
      <c r="D112" s="110"/>
    </row>
    <row r="113" spans="1:4" ht="13.5" customHeight="1">
      <c r="B113" s="110"/>
      <c r="C113" s="110"/>
      <c r="D113" s="110"/>
    </row>
    <row r="114" spans="1:4" ht="13.5" customHeight="1">
      <c r="B114" s="110"/>
      <c r="C114" s="110"/>
      <c r="D114" s="110"/>
    </row>
    <row r="115" spans="1:4" ht="13.5" customHeight="1">
      <c r="A115" s="95"/>
      <c r="B115" s="110"/>
      <c r="C115" s="110"/>
      <c r="D115" s="110"/>
    </row>
    <row r="116" spans="1:4" ht="13.5" customHeight="1">
      <c r="B116" s="110"/>
      <c r="C116" s="110"/>
      <c r="D116" s="110"/>
    </row>
    <row r="117" spans="1:4" ht="13.5" customHeight="1">
      <c r="B117" s="110"/>
      <c r="C117" s="110"/>
      <c r="D117" s="110"/>
    </row>
    <row r="118" spans="1:4" ht="13.5" customHeight="1">
      <c r="B118" s="124"/>
      <c r="C118" s="124"/>
      <c r="D118" s="128"/>
    </row>
    <row r="119" spans="1:4" ht="13.5" customHeight="1">
      <c r="B119" s="124"/>
      <c r="C119" s="124"/>
      <c r="D119" s="128"/>
    </row>
    <row r="120" spans="1:4" ht="13.5" customHeight="1">
      <c r="A120" s="95"/>
      <c r="B120" s="124"/>
      <c r="C120" s="124"/>
      <c r="D120" s="124"/>
    </row>
    <row r="122" spans="1:4" ht="13.5" customHeight="1">
      <c r="A122" s="95"/>
      <c r="B122" s="145"/>
      <c r="C122" s="145"/>
      <c r="D122" s="145"/>
    </row>
    <row r="123" spans="1:4" ht="13.5" customHeight="1">
      <c r="A123" s="110"/>
      <c r="B123" s="145"/>
      <c r="C123" s="145"/>
      <c r="D123" s="145"/>
    </row>
    <row r="124" spans="1:4" ht="13.5" customHeight="1">
      <c r="A124" s="110"/>
      <c r="B124" s="145"/>
      <c r="C124" s="145"/>
      <c r="D124" s="145"/>
    </row>
    <row r="125" spans="1:4" ht="13.5" customHeight="1">
      <c r="B125" s="145"/>
      <c r="C125" s="146"/>
      <c r="D125" s="146"/>
    </row>
    <row r="126" spans="1:4" ht="13.5" customHeight="1">
      <c r="B126" s="145"/>
      <c r="C126" s="146"/>
      <c r="D126" s="146"/>
    </row>
    <row r="127" spans="1:4" ht="13.5" customHeight="1">
      <c r="A127" s="95"/>
      <c r="C127" s="124"/>
      <c r="D127" s="124"/>
    </row>
    <row r="128" spans="1:4" ht="13.5" customHeight="1">
      <c r="C128" s="124"/>
      <c r="D128" s="124"/>
    </row>
    <row r="132" spans="2:4" ht="13.5" customHeight="1">
      <c r="B132" s="110"/>
      <c r="C132" s="110"/>
      <c r="D132" s="110"/>
    </row>
    <row r="133" spans="2:4" ht="13.5" customHeight="1">
      <c r="B133" s="110"/>
      <c r="C133" s="110"/>
      <c r="D133" s="110"/>
    </row>
    <row r="134" spans="2:4" ht="13.5" customHeight="1">
      <c r="B134" s="110"/>
      <c r="C134" s="110"/>
      <c r="D134" s="110"/>
    </row>
    <row r="135" spans="2:4" ht="13.5" customHeight="1">
      <c r="B135" s="110"/>
      <c r="C135" s="110"/>
      <c r="D135" s="110"/>
    </row>
    <row r="137" spans="2:4" ht="13.5" customHeight="1">
      <c r="B137" s="110"/>
      <c r="C137" s="110"/>
      <c r="D137" s="110"/>
    </row>
    <row r="138" spans="2:4" ht="13.5" customHeight="1">
      <c r="B138" s="110"/>
      <c r="C138" s="110"/>
      <c r="D138" s="110"/>
    </row>
    <row r="140" spans="2:4" ht="13.5" customHeight="1">
      <c r="B140" s="110"/>
      <c r="C140" s="110"/>
      <c r="D140" s="110"/>
    </row>
    <row r="141" spans="2:4" ht="13.5" customHeight="1">
      <c r="B141" s="110"/>
      <c r="C141" s="110"/>
      <c r="D141" s="110"/>
    </row>
    <row r="142" spans="2:4" ht="13.5" customHeight="1">
      <c r="B142" s="110"/>
      <c r="C142" s="110"/>
      <c r="D142" s="110"/>
    </row>
    <row r="144" spans="2:4" ht="13.5" customHeight="1">
      <c r="B144" s="110"/>
      <c r="C144" s="110"/>
      <c r="D144" s="110"/>
    </row>
    <row r="145" spans="2:4" ht="13.5" customHeight="1">
      <c r="B145" s="110"/>
      <c r="C145" s="110"/>
      <c r="D145" s="110"/>
    </row>
    <row r="146" spans="2:4" ht="13.5" customHeight="1">
      <c r="B146" s="110"/>
      <c r="C146" s="110"/>
      <c r="D146" s="110"/>
    </row>
    <row r="147" spans="2:4" ht="13.5" customHeight="1">
      <c r="B147" s="110"/>
      <c r="C147" s="110"/>
      <c r="D147" s="110"/>
    </row>
  </sheetData>
  <phoneticPr fontId="5" type="noConversion"/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28" max="7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47"/>
  <sheetViews>
    <sheetView showGridLines="0" view="pageBreakPreview" zoomScaleNormal="100" zoomScaleSheetLayoutView="100" workbookViewId="0">
      <selection activeCell="A27" sqref="A27"/>
    </sheetView>
  </sheetViews>
  <sheetFormatPr defaultColWidth="11.3984375" defaultRowHeight="13.5" customHeight="1"/>
  <cols>
    <col min="1" max="1" width="26.09765625" style="88" customWidth="1"/>
    <col min="2" max="4" width="11.3984375" style="108" customWidth="1"/>
    <col min="5" max="5" width="4.09765625" style="110" customWidth="1"/>
    <col min="6" max="7" width="7.19921875" style="110" customWidth="1"/>
    <col min="8" max="8" width="10.3984375" style="110" customWidth="1"/>
    <col min="9" max="9" width="10.8984375" style="110" customWidth="1"/>
    <col min="10" max="10" width="11.3984375" style="110"/>
    <col min="11" max="11" width="12.19921875" style="110" bestFit="1" customWidth="1"/>
    <col min="12" max="16384" width="11.3984375" style="110"/>
  </cols>
  <sheetData>
    <row r="1" spans="1:29" ht="18.75" customHeight="1">
      <c r="A1" s="3" t="s">
        <v>188</v>
      </c>
      <c r="C1" s="109"/>
      <c r="D1" s="109"/>
      <c r="H1" s="170" t="s">
        <v>61</v>
      </c>
      <c r="I1" s="170" t="s">
        <v>61</v>
      </c>
      <c r="K1" s="111"/>
    </row>
    <row r="2" spans="1:29" ht="16.5" customHeight="1" thickBot="1">
      <c r="A2" s="187" t="s">
        <v>189</v>
      </c>
      <c r="B2" s="173">
        <v>2008</v>
      </c>
      <c r="C2" s="173">
        <f>B2+1</f>
        <v>2009</v>
      </c>
      <c r="D2" s="173">
        <f>C2+1</f>
        <v>2010</v>
      </c>
      <c r="H2" s="171">
        <f>D2+1</f>
        <v>2011</v>
      </c>
      <c r="I2" s="171">
        <f>H2+1</f>
        <v>2012</v>
      </c>
      <c r="J2" s="158"/>
      <c r="K2" s="111"/>
    </row>
    <row r="3" spans="1:29" ht="13.5" customHeight="1">
      <c r="A3" s="188" t="s">
        <v>87</v>
      </c>
      <c r="B3" s="112">
        <v>87000</v>
      </c>
      <c r="C3" s="112">
        <v>84016</v>
      </c>
      <c r="D3" s="112">
        <v>74233</v>
      </c>
      <c r="F3" s="1"/>
      <c r="G3" s="1"/>
      <c r="H3" s="194"/>
      <c r="I3" s="194"/>
      <c r="K3" s="62"/>
      <c r="L3" s="114"/>
      <c r="M3" s="114"/>
    </row>
    <row r="4" spans="1:29" s="115" customFormat="1" ht="13.5" customHeight="1">
      <c r="A4" s="189" t="s">
        <v>57</v>
      </c>
      <c r="B4" s="113">
        <v>63895</v>
      </c>
      <c r="C4" s="113">
        <v>60810</v>
      </c>
      <c r="D4" s="113">
        <v>53350</v>
      </c>
      <c r="E4" s="114"/>
      <c r="F4" s="1"/>
      <c r="G4" s="1"/>
      <c r="H4" s="195"/>
      <c r="I4" s="195"/>
      <c r="J4" s="114"/>
      <c r="K4" s="6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114" customFormat="1" ht="13.5" customHeight="1">
      <c r="A5" s="149" t="s">
        <v>90</v>
      </c>
      <c r="B5" s="112">
        <f>B3-B4</f>
        <v>23105</v>
      </c>
      <c r="C5" s="152">
        <f>C3-C4</f>
        <v>23206</v>
      </c>
      <c r="D5" s="112">
        <f>D3-D4</f>
        <v>20883</v>
      </c>
      <c r="F5" s="1"/>
      <c r="G5" s="1"/>
      <c r="H5" s="194"/>
      <c r="I5" s="194"/>
      <c r="K5" s="62"/>
    </row>
    <row r="6" spans="1:29" ht="13.5" customHeight="1">
      <c r="A6" s="190" t="s">
        <v>155</v>
      </c>
      <c r="B6" s="116">
        <f>16640-6264</f>
        <v>10376</v>
      </c>
      <c r="C6" s="128">
        <f>15455-4126</f>
        <v>11329</v>
      </c>
      <c r="D6" s="116">
        <f>13534-3334</f>
        <v>10200</v>
      </c>
      <c r="E6" s="114"/>
      <c r="F6" s="1"/>
      <c r="G6" s="1"/>
      <c r="H6" s="194"/>
      <c r="I6" s="194"/>
      <c r="K6" s="46"/>
      <c r="L6" s="114"/>
      <c r="M6" s="114"/>
      <c r="N6" s="114"/>
      <c r="O6" s="114"/>
      <c r="P6" s="114"/>
    </row>
    <row r="7" spans="1:29" ht="13.5" customHeight="1">
      <c r="A7" s="147" t="s">
        <v>154</v>
      </c>
      <c r="B7" s="116">
        <v>6782</v>
      </c>
      <c r="C7" s="128">
        <v>5819</v>
      </c>
      <c r="D7" s="116">
        <f>5067</f>
        <v>5067</v>
      </c>
      <c r="F7" s="1"/>
      <c r="G7" s="1"/>
      <c r="H7" s="194"/>
      <c r="I7" s="194"/>
      <c r="K7" s="46"/>
      <c r="L7" s="114"/>
      <c r="M7" s="114"/>
      <c r="N7" s="114"/>
      <c r="O7" s="114"/>
      <c r="P7" s="114"/>
    </row>
    <row r="8" spans="1:29" ht="13.5" customHeight="1">
      <c r="A8" s="154" t="s">
        <v>181</v>
      </c>
      <c r="B8" s="113">
        <f>B6+B7</f>
        <v>17158</v>
      </c>
      <c r="C8" s="153">
        <f>C6+C7</f>
        <v>17148</v>
      </c>
      <c r="D8" s="113">
        <f>D6+D7</f>
        <v>15267</v>
      </c>
      <c r="F8" s="114"/>
      <c r="G8" s="114"/>
      <c r="H8" s="195"/>
      <c r="I8" s="195"/>
      <c r="K8" s="46"/>
      <c r="L8" s="114"/>
      <c r="M8" s="114"/>
    </row>
    <row r="9" spans="1:29" ht="13.5" customHeight="1">
      <c r="A9" s="83" t="s">
        <v>29</v>
      </c>
      <c r="B9" s="116">
        <f>B5-B8</f>
        <v>5947</v>
      </c>
      <c r="C9" s="128">
        <f>C5-C8</f>
        <v>6058</v>
      </c>
      <c r="D9" s="116">
        <f>D5-D8</f>
        <v>5616</v>
      </c>
      <c r="F9" s="1"/>
      <c r="G9" s="1"/>
      <c r="H9" s="194"/>
      <c r="I9" s="194"/>
      <c r="K9" s="62"/>
      <c r="L9" s="114"/>
      <c r="M9" s="114"/>
    </row>
    <row r="10" spans="1:29" ht="13.5" customHeight="1">
      <c r="A10" s="191" t="s">
        <v>2</v>
      </c>
      <c r="B10" s="113">
        <v>6264</v>
      </c>
      <c r="C10" s="153">
        <v>4126</v>
      </c>
      <c r="D10" s="113">
        <v>3334</v>
      </c>
      <c r="F10" s="1"/>
      <c r="G10" s="1"/>
      <c r="H10" s="195"/>
      <c r="I10" s="195"/>
      <c r="K10" s="62"/>
      <c r="L10" s="114"/>
      <c r="M10" s="114"/>
    </row>
    <row r="11" spans="1:29" ht="13.5" customHeight="1">
      <c r="A11" s="83" t="s">
        <v>16</v>
      </c>
      <c r="B11" s="112">
        <f>B9-B10</f>
        <v>-317</v>
      </c>
      <c r="C11" s="112">
        <f>C9-C10</f>
        <v>1932</v>
      </c>
      <c r="D11" s="112">
        <f>D9-D10</f>
        <v>2282</v>
      </c>
      <c r="F11" s="1"/>
      <c r="G11" s="1"/>
      <c r="H11" s="194"/>
      <c r="I11" s="194"/>
      <c r="K11" s="62"/>
      <c r="L11" s="114"/>
      <c r="M11" s="114"/>
    </row>
    <row r="12" spans="1:29" ht="13.5" customHeight="1">
      <c r="A12" s="149" t="s">
        <v>190</v>
      </c>
      <c r="B12" s="113">
        <f>2762+49+173-32+43</f>
        <v>2995</v>
      </c>
      <c r="C12" s="113">
        <f>1321-114+18+94+224</f>
        <v>1543</v>
      </c>
      <c r="D12" s="113">
        <f>642+142+61+31+214</f>
        <v>1090</v>
      </c>
      <c r="F12" s="1"/>
      <c r="G12" s="1"/>
      <c r="H12" s="195"/>
      <c r="I12" s="195"/>
      <c r="K12" s="62"/>
      <c r="L12" s="114"/>
      <c r="M12" s="114"/>
    </row>
    <row r="13" spans="1:29" ht="13.5" customHeight="1">
      <c r="A13" s="156" t="s">
        <v>17</v>
      </c>
      <c r="B13" s="112">
        <f>B11+B12</f>
        <v>2678</v>
      </c>
      <c r="C13" s="152">
        <f>C11+C12</f>
        <v>3475</v>
      </c>
      <c r="D13" s="112">
        <f>D11+D12</f>
        <v>3372</v>
      </c>
      <c r="F13" s="1"/>
      <c r="G13" s="1"/>
      <c r="H13" s="196"/>
      <c r="I13" s="196"/>
      <c r="K13" s="62"/>
      <c r="L13" s="114"/>
      <c r="M13" s="114"/>
    </row>
    <row r="14" spans="1:29" ht="13.5" customHeight="1">
      <c r="A14" s="192" t="s">
        <v>3</v>
      </c>
      <c r="B14" s="116">
        <v>781</v>
      </c>
      <c r="C14" s="128">
        <v>849</v>
      </c>
      <c r="D14" s="116">
        <v>867</v>
      </c>
      <c r="F14" s="1"/>
      <c r="G14" s="1"/>
      <c r="H14" s="194"/>
      <c r="I14" s="194"/>
      <c r="K14" s="62"/>
      <c r="L14" s="114"/>
      <c r="M14" s="114"/>
    </row>
    <row r="15" spans="1:29" ht="13.5" customHeight="1">
      <c r="A15" s="193" t="s">
        <v>153</v>
      </c>
      <c r="B15" s="113">
        <v>191</v>
      </c>
      <c r="C15" s="153">
        <v>-29</v>
      </c>
      <c r="D15" s="113">
        <v>-60</v>
      </c>
      <c r="F15" s="1"/>
      <c r="G15" s="1"/>
      <c r="H15" s="195"/>
      <c r="I15" s="195"/>
      <c r="K15" s="62"/>
      <c r="L15" s="114"/>
      <c r="M15" s="114"/>
    </row>
    <row r="16" spans="1:29" ht="13.5" customHeight="1">
      <c r="A16" s="189" t="s">
        <v>191</v>
      </c>
      <c r="B16" s="113">
        <f>B13-B14+B15</f>
        <v>2088</v>
      </c>
      <c r="C16" s="113">
        <f>C13-C14+C15</f>
        <v>2597</v>
      </c>
      <c r="D16" s="113">
        <f>D13-D14+D15</f>
        <v>2445</v>
      </c>
      <c r="F16" s="1"/>
      <c r="G16" s="1"/>
      <c r="H16" s="194"/>
      <c r="I16" s="194"/>
      <c r="K16" s="62"/>
      <c r="L16" s="114"/>
      <c r="M16" s="114"/>
    </row>
    <row r="17" spans="1:13" ht="13.5" customHeight="1">
      <c r="B17" s="141"/>
      <c r="C17" s="141"/>
      <c r="D17" s="141"/>
      <c r="K17" s="29"/>
    </row>
    <row r="18" spans="1:13" ht="13.5" customHeight="1" thickBot="1">
      <c r="A18" s="89" t="s">
        <v>101</v>
      </c>
      <c r="B18" s="157"/>
      <c r="C18" s="118"/>
      <c r="D18" s="119"/>
      <c r="E18" s="98"/>
      <c r="H18" s="226"/>
      <c r="I18" s="227" t="s">
        <v>263</v>
      </c>
      <c r="K18" s="150"/>
      <c r="L18" s="114"/>
      <c r="M18" s="114"/>
    </row>
    <row r="19" spans="1:13" ht="13.5" customHeight="1">
      <c r="A19" s="90" t="s">
        <v>102</v>
      </c>
      <c r="B19" s="119" t="s">
        <v>147</v>
      </c>
      <c r="C19" s="214"/>
      <c r="D19" s="214"/>
      <c r="E19" s="98"/>
      <c r="F19" s="98"/>
      <c r="G19" s="98"/>
      <c r="H19" s="228">
        <v>0.05</v>
      </c>
      <c r="I19" s="228">
        <v>0.05</v>
      </c>
      <c r="K19" s="66"/>
      <c r="L19" s="114"/>
      <c r="M19" s="114"/>
    </row>
    <row r="20" spans="1:13" ht="13.5" customHeight="1">
      <c r="A20" s="90" t="s">
        <v>164</v>
      </c>
      <c r="B20" s="198"/>
      <c r="C20" s="198"/>
      <c r="D20" s="198"/>
      <c r="E20" s="98"/>
      <c r="F20" s="98"/>
      <c r="G20" s="98"/>
      <c r="H20" s="229">
        <v>0.28499999999999998</v>
      </c>
      <c r="I20" s="229">
        <v>0.28499999999999998</v>
      </c>
      <c r="K20" s="66"/>
      <c r="L20" s="114"/>
      <c r="M20" s="114"/>
    </row>
    <row r="21" spans="1:13" ht="13.5" customHeight="1">
      <c r="A21" s="17" t="s">
        <v>165</v>
      </c>
      <c r="B21" s="213"/>
      <c r="C21" s="213"/>
      <c r="D21" s="213"/>
      <c r="E21" s="98"/>
      <c r="F21" s="98"/>
      <c r="G21" s="98"/>
      <c r="H21" s="197"/>
      <c r="I21" s="197"/>
      <c r="K21" s="66"/>
      <c r="L21" s="114"/>
      <c r="M21" s="114"/>
    </row>
    <row r="22" spans="1:13" ht="13.5" customHeight="1">
      <c r="A22" s="56" t="s">
        <v>166</v>
      </c>
      <c r="B22" s="119" t="s">
        <v>147</v>
      </c>
      <c r="C22" s="197"/>
      <c r="D22" s="197"/>
      <c r="E22" s="98"/>
      <c r="F22" s="98"/>
      <c r="G22" s="98"/>
      <c r="H22" s="228">
        <v>0</v>
      </c>
      <c r="I22" s="228">
        <v>0.02</v>
      </c>
      <c r="K22" s="66"/>
      <c r="L22" s="114"/>
      <c r="M22" s="114"/>
    </row>
    <row r="23" spans="1:13" ht="13.5" customHeight="1">
      <c r="A23" s="90" t="s">
        <v>167</v>
      </c>
      <c r="B23" s="198"/>
      <c r="C23" s="198"/>
      <c r="D23" s="198"/>
      <c r="E23" s="98"/>
      <c r="F23" s="98"/>
      <c r="G23" s="98"/>
      <c r="H23" s="198"/>
      <c r="I23" s="198"/>
      <c r="K23" s="114"/>
      <c r="L23" s="114"/>
      <c r="M23" s="114"/>
    </row>
    <row r="24" spans="1:13" ht="13.5" customHeight="1">
      <c r="A24" s="91" t="s">
        <v>152</v>
      </c>
      <c r="B24" s="205"/>
      <c r="C24" s="205"/>
      <c r="D24" s="205"/>
      <c r="E24" s="98"/>
      <c r="F24" s="98"/>
      <c r="G24" s="98"/>
      <c r="H24" s="198"/>
      <c r="I24" s="198"/>
      <c r="K24" s="114"/>
      <c r="L24" s="114"/>
      <c r="M24" s="114"/>
    </row>
    <row r="25" spans="1:13" ht="13.5" customHeight="1">
      <c r="A25" s="90" t="s">
        <v>151</v>
      </c>
      <c r="B25" s="213"/>
      <c r="C25" s="213"/>
      <c r="D25" s="213"/>
      <c r="E25" s="98"/>
      <c r="F25" s="98"/>
      <c r="G25" s="98"/>
      <c r="H25" s="197"/>
      <c r="I25" s="197"/>
      <c r="K25" s="66"/>
      <c r="L25" s="114"/>
      <c r="M25" s="114"/>
    </row>
    <row r="26" spans="1:13" ht="13.5" customHeight="1">
      <c r="A26" s="90" t="s">
        <v>299</v>
      </c>
      <c r="B26" s="197"/>
      <c r="C26" s="197"/>
      <c r="D26" s="197"/>
      <c r="E26" s="98"/>
      <c r="F26" s="98"/>
      <c r="G26" s="98"/>
      <c r="H26" s="197"/>
      <c r="I26" s="197"/>
      <c r="K26" s="151"/>
      <c r="L26" s="114"/>
      <c r="M26" s="114"/>
    </row>
    <row r="27" spans="1:13" ht="13.5" customHeight="1">
      <c r="A27" s="90" t="s">
        <v>261</v>
      </c>
      <c r="B27" s="215"/>
      <c r="C27" s="215"/>
      <c r="D27" s="215"/>
      <c r="E27" s="98"/>
      <c r="F27" s="98"/>
      <c r="G27" s="98"/>
      <c r="H27" s="199"/>
      <c r="I27" s="199"/>
      <c r="K27" s="66"/>
      <c r="L27" s="114"/>
      <c r="M27" s="114"/>
    </row>
    <row r="28" spans="1:13" ht="13.5" customHeight="1">
      <c r="A28" s="90"/>
      <c r="B28" s="123"/>
      <c r="C28" s="123"/>
      <c r="D28" s="123"/>
      <c r="E28" s="98"/>
      <c r="F28" s="98"/>
      <c r="G28" s="98"/>
      <c r="H28" s="168"/>
      <c r="I28" s="168"/>
      <c r="K28" s="66"/>
      <c r="L28" s="114"/>
      <c r="M28" s="114"/>
    </row>
    <row r="29" spans="1:13" ht="13.5" customHeight="1">
      <c r="B29" s="124"/>
      <c r="C29" s="124"/>
      <c r="D29" s="124"/>
    </row>
    <row r="30" spans="1:13" ht="17.25" customHeight="1" thickBot="1">
      <c r="A30" s="3" t="s">
        <v>193</v>
      </c>
      <c r="B30" s="174">
        <f>B2</f>
        <v>2008</v>
      </c>
      <c r="C30" s="174">
        <f>C2</f>
        <v>2009</v>
      </c>
      <c r="D30" s="210">
        <f>D2</f>
        <v>2010</v>
      </c>
      <c r="E30" s="211"/>
      <c r="F30" s="208" t="s">
        <v>198</v>
      </c>
      <c r="G30" s="169"/>
    </row>
    <row r="31" spans="1:13" ht="13.5" customHeight="1">
      <c r="A31" s="81" t="s">
        <v>106</v>
      </c>
      <c r="B31" s="112">
        <f>7802+791</f>
        <v>8593</v>
      </c>
      <c r="C31" s="112">
        <f>11196+399</f>
        <v>11595</v>
      </c>
      <c r="D31" s="112">
        <f>12149+650</f>
        <v>12799</v>
      </c>
      <c r="F31" s="201"/>
      <c r="G31" s="159"/>
    </row>
    <row r="32" spans="1:13" ht="13.5" customHeight="1">
      <c r="A32" s="87" t="s">
        <v>58</v>
      </c>
      <c r="B32" s="116">
        <f>17734+1113+10167</f>
        <v>29014</v>
      </c>
      <c r="C32" s="116">
        <f>15230+1212+5353</f>
        <v>21795</v>
      </c>
      <c r="D32" s="116">
        <v>20324</v>
      </c>
      <c r="F32" s="201"/>
      <c r="G32" s="159"/>
      <c r="K32" s="110">
        <v>20324</v>
      </c>
    </row>
    <row r="33" spans="1:11" ht="13.5" customHeight="1">
      <c r="A33" s="87" t="s">
        <v>109</v>
      </c>
      <c r="B33" s="116">
        <v>13406</v>
      </c>
      <c r="C33" s="116">
        <v>10672</v>
      </c>
      <c r="D33" s="116">
        <v>10366</v>
      </c>
      <c r="F33" s="201"/>
      <c r="G33" s="159"/>
      <c r="K33" s="110">
        <v>10366</v>
      </c>
    </row>
    <row r="34" spans="1:11" ht="13.5" customHeight="1">
      <c r="A34" s="81" t="s">
        <v>111</v>
      </c>
      <c r="B34" s="112">
        <f>SUM(B31:B33)</f>
        <v>51013</v>
      </c>
      <c r="C34" s="112">
        <f>SUM(C31:C33)</f>
        <v>44062</v>
      </c>
      <c r="D34" s="112">
        <f>SUM(D31:D33)</f>
        <v>43489</v>
      </c>
      <c r="F34" s="159"/>
      <c r="G34" s="159"/>
    </row>
    <row r="35" spans="1:11" ht="13.5" customHeight="1">
      <c r="A35" s="82" t="s">
        <v>112</v>
      </c>
      <c r="B35" s="113">
        <f>90118-51013</f>
        <v>39105</v>
      </c>
      <c r="C35" s="113">
        <f>77939-44062</f>
        <v>33877</v>
      </c>
      <c r="D35" s="113">
        <f>77605-43489</f>
        <v>34116</v>
      </c>
      <c r="F35" s="201"/>
      <c r="G35" s="159"/>
    </row>
    <row r="36" spans="1:11" ht="13.5" customHeight="1">
      <c r="A36" s="82" t="s">
        <v>114</v>
      </c>
      <c r="B36" s="126">
        <f>B34+B35</f>
        <v>90118</v>
      </c>
      <c r="C36" s="126">
        <f>C34+C35</f>
        <v>77939</v>
      </c>
      <c r="D36" s="126">
        <f>D34+D35</f>
        <v>77605</v>
      </c>
      <c r="F36" s="159"/>
      <c r="G36" s="159"/>
    </row>
    <row r="37" spans="1:11" ht="13.5" customHeight="1">
      <c r="B37" s="108" t="s">
        <v>4</v>
      </c>
      <c r="F37" s="160"/>
      <c r="G37" s="160"/>
    </row>
    <row r="38" spans="1:11" ht="13.5" customHeight="1">
      <c r="A38" s="3" t="s">
        <v>194</v>
      </c>
      <c r="D38" s="127"/>
      <c r="F38" s="160"/>
      <c r="G38" s="160"/>
    </row>
    <row r="39" spans="1:11" ht="13.5" customHeight="1">
      <c r="A39" s="81" t="s">
        <v>115</v>
      </c>
      <c r="B39" s="112">
        <v>10798</v>
      </c>
      <c r="C39" s="112">
        <v>8649</v>
      </c>
      <c r="D39" s="112">
        <v>8404</v>
      </c>
      <c r="F39" s="201"/>
      <c r="G39" s="159"/>
      <c r="K39" s="110">
        <v>8404</v>
      </c>
    </row>
    <row r="40" spans="1:11" ht="13.5" customHeight="1">
      <c r="A40" s="106" t="s">
        <v>175</v>
      </c>
      <c r="B40" s="116">
        <v>754</v>
      </c>
      <c r="C40" s="116">
        <v>661</v>
      </c>
      <c r="D40" s="116">
        <v>870</v>
      </c>
      <c r="F40" s="201"/>
      <c r="G40" s="159"/>
    </row>
    <row r="41" spans="1:11" ht="13.5" customHeight="1">
      <c r="A41" s="82" t="s">
        <v>117</v>
      </c>
      <c r="B41" s="116">
        <f>2637+10864+19471</f>
        <v>32972</v>
      </c>
      <c r="C41" s="116">
        <f>2103+9608+13691</f>
        <v>25402</v>
      </c>
      <c r="D41" s="116">
        <f>1745+8884+12125</f>
        <v>22754</v>
      </c>
      <c r="F41" s="201"/>
      <c r="G41" s="159"/>
    </row>
    <row r="42" spans="1:11" ht="13.5" customHeight="1">
      <c r="A42" s="81" t="s">
        <v>150</v>
      </c>
      <c r="B42" s="112">
        <f>B39+B40+B41</f>
        <v>44524</v>
      </c>
      <c r="C42" s="112">
        <f>C39+C40+C41</f>
        <v>34712</v>
      </c>
      <c r="D42" s="112">
        <f>D39+D40+D41</f>
        <v>32028</v>
      </c>
      <c r="F42" s="159"/>
      <c r="G42" s="159"/>
    </row>
    <row r="43" spans="1:11" ht="13.5" customHeight="1">
      <c r="A43" s="87" t="s">
        <v>119</v>
      </c>
      <c r="B43" s="116">
        <f>9973+4721+111+2957</f>
        <v>17762</v>
      </c>
      <c r="C43" s="116">
        <f>10243+5326+195+3401</f>
        <v>19165</v>
      </c>
      <c r="D43" s="116">
        <f>11433+5843+534+3418</f>
        <v>21228</v>
      </c>
      <c r="F43" s="201"/>
      <c r="G43" s="159"/>
    </row>
    <row r="44" spans="1:11" ht="13.5" customHeight="1">
      <c r="A44" s="87" t="s">
        <v>121</v>
      </c>
      <c r="B44" s="116">
        <f>23812+4020-2088</f>
        <v>25744</v>
      </c>
      <c r="C44" s="116">
        <f>23521+541-2597</f>
        <v>21465</v>
      </c>
      <c r="D44" s="116">
        <f>23715-2445+634</f>
        <v>21904</v>
      </c>
      <c r="F44" s="201"/>
      <c r="G44" s="159"/>
    </row>
    <row r="45" spans="1:11" ht="13.5" customHeight="1">
      <c r="A45" s="82" t="s">
        <v>123</v>
      </c>
      <c r="B45" s="113">
        <f>B16</f>
        <v>2088</v>
      </c>
      <c r="C45" s="113">
        <f>C16</f>
        <v>2597</v>
      </c>
      <c r="D45" s="113">
        <f>D16</f>
        <v>2445</v>
      </c>
      <c r="F45" s="201"/>
      <c r="G45" s="159"/>
    </row>
    <row r="46" spans="1:11" ht="13.5" customHeight="1">
      <c r="A46" s="93" t="s">
        <v>124</v>
      </c>
      <c r="B46" s="126">
        <f>B42+B43+B44+B45</f>
        <v>90118</v>
      </c>
      <c r="C46" s="126">
        <f>C42+C43+C44+C45</f>
        <v>77939</v>
      </c>
      <c r="D46" s="126">
        <f>D42+D43+D44+D45</f>
        <v>77605</v>
      </c>
    </row>
    <row r="47" spans="1:11" ht="13.5" customHeight="1">
      <c r="A47" s="94"/>
      <c r="B47" s="128"/>
      <c r="C47" s="128"/>
      <c r="D47" s="128"/>
    </row>
    <row r="48" spans="1:11" ht="13.5" customHeight="1">
      <c r="A48" s="88" t="s">
        <v>59</v>
      </c>
      <c r="B48" s="129">
        <f>B4</f>
        <v>63895</v>
      </c>
      <c r="C48" s="129">
        <f>C4+(C33-B33)</f>
        <v>58076</v>
      </c>
      <c r="D48" s="129">
        <f>D4+(D33-C33)</f>
        <v>53044</v>
      </c>
      <c r="F48" t="s">
        <v>280</v>
      </c>
      <c r="G48" s="6"/>
      <c r="H48" s="6"/>
    </row>
    <row r="49" spans="1:9" ht="13.5" customHeight="1">
      <c r="A49" s="88" t="s">
        <v>125</v>
      </c>
      <c r="B49" s="129"/>
      <c r="C49" s="129">
        <f>C35-B35+C10</f>
        <v>-1102</v>
      </c>
      <c r="D49" s="129">
        <f>D35-C35+D10</f>
        <v>3573</v>
      </c>
      <c r="F49" t="s">
        <v>279</v>
      </c>
      <c r="G49" s="6"/>
      <c r="H49" s="6"/>
    </row>
    <row r="50" spans="1:9" ht="13.5" customHeight="1">
      <c r="A50" s="95"/>
      <c r="B50" s="129"/>
      <c r="C50" s="129"/>
      <c r="D50" s="129"/>
      <c r="F50" s="130"/>
      <c r="G50" s="130"/>
      <c r="H50" s="170" t="s">
        <v>61</v>
      </c>
      <c r="I50" s="170" t="s">
        <v>61</v>
      </c>
    </row>
    <row r="51" spans="1:9" ht="18.75" customHeight="1" thickBot="1">
      <c r="A51" s="96" t="s">
        <v>126</v>
      </c>
      <c r="B51" s="177">
        <f>B30</f>
        <v>2008</v>
      </c>
      <c r="C51" s="177">
        <f>C30</f>
        <v>2009</v>
      </c>
      <c r="D51" s="177">
        <f>D30</f>
        <v>2010</v>
      </c>
      <c r="E51" s="212"/>
      <c r="F51" s="209" t="s">
        <v>198</v>
      </c>
      <c r="G51" s="169"/>
      <c r="H51" s="183">
        <f>D30+1</f>
        <v>2011</v>
      </c>
      <c r="I51" s="183">
        <f>H51+1</f>
        <v>2012</v>
      </c>
    </row>
    <row r="52" spans="1:9" ht="13.5" customHeight="1">
      <c r="A52" s="90" t="s">
        <v>127</v>
      </c>
      <c r="B52" s="196"/>
      <c r="C52" s="196"/>
      <c r="D52" s="196"/>
      <c r="E52" s="98"/>
      <c r="F52" s="201"/>
      <c r="G52" s="159"/>
      <c r="H52" s="201"/>
      <c r="I52" s="201"/>
    </row>
    <row r="53" spans="1:9" ht="13.5" customHeight="1">
      <c r="A53" s="97" t="s">
        <v>274</v>
      </c>
      <c r="B53" s="196"/>
      <c r="C53" s="196"/>
      <c r="D53" s="196"/>
      <c r="E53" s="98"/>
      <c r="F53" s="201"/>
      <c r="G53" s="159"/>
      <c r="H53" s="201"/>
      <c r="I53" s="201"/>
    </row>
    <row r="54" spans="1:9" ht="13.5" customHeight="1">
      <c r="A54" s="97" t="s">
        <v>275</v>
      </c>
      <c r="B54" s="204"/>
      <c r="C54" s="204"/>
      <c r="D54" s="204"/>
      <c r="E54" s="98"/>
      <c r="F54" s="201"/>
      <c r="G54" s="159"/>
      <c r="H54" s="202"/>
      <c r="I54" s="202"/>
    </row>
    <row r="55" spans="1:9" ht="13.5" customHeight="1">
      <c r="A55" s="97" t="s">
        <v>276</v>
      </c>
      <c r="B55" s="196"/>
      <c r="C55" s="196"/>
      <c r="D55" s="196"/>
      <c r="E55" s="98"/>
      <c r="F55" s="159"/>
      <c r="G55" s="159"/>
      <c r="H55" s="203"/>
      <c r="I55" s="203"/>
    </row>
    <row r="56" spans="1:9" ht="13.5" customHeight="1">
      <c r="A56" s="97"/>
      <c r="B56" s="131"/>
      <c r="C56" s="131"/>
      <c r="D56" s="131"/>
      <c r="E56" s="98"/>
      <c r="F56" s="159"/>
      <c r="G56" s="159"/>
      <c r="H56" s="201"/>
      <c r="I56" s="201"/>
    </row>
    <row r="57" spans="1:9" ht="13.5" customHeight="1">
      <c r="A57" s="97" t="s">
        <v>131</v>
      </c>
      <c r="B57" s="196"/>
      <c r="C57" s="196"/>
      <c r="D57" s="196"/>
      <c r="E57" s="98"/>
      <c r="F57" s="201"/>
      <c r="G57" s="159"/>
      <c r="H57" s="201"/>
      <c r="I57" s="201"/>
    </row>
    <row r="58" spans="1:9" ht="13.5" customHeight="1">
      <c r="A58" s="97" t="s">
        <v>132</v>
      </c>
      <c r="B58" s="204"/>
      <c r="C58" s="204"/>
      <c r="D58" s="204"/>
      <c r="E58" s="98"/>
      <c r="F58" s="201"/>
      <c r="G58" s="159"/>
      <c r="H58" s="202"/>
      <c r="I58" s="202"/>
    </row>
    <row r="59" spans="1:9" ht="13.5" customHeight="1">
      <c r="A59" s="97" t="s">
        <v>133</v>
      </c>
      <c r="B59" s="196"/>
      <c r="C59" s="196"/>
      <c r="D59" s="196"/>
      <c r="E59" s="98"/>
      <c r="F59" s="159"/>
      <c r="G59" s="159"/>
      <c r="H59" s="203"/>
      <c r="I59" s="203"/>
    </row>
    <row r="60" spans="1:9" ht="13.5" customHeight="1">
      <c r="A60" s="97"/>
      <c r="B60" s="131"/>
      <c r="C60" s="131"/>
      <c r="D60" s="131"/>
      <c r="E60" s="98"/>
      <c r="F60" s="159"/>
      <c r="G60" s="159"/>
      <c r="H60" s="148"/>
      <c r="I60" s="148"/>
    </row>
    <row r="61" spans="1:9" ht="13.5" customHeight="1" thickBot="1">
      <c r="A61" s="96" t="s">
        <v>262</v>
      </c>
      <c r="B61" s="133"/>
      <c r="C61" s="133"/>
      <c r="D61" s="133"/>
      <c r="E61" s="98"/>
      <c r="F61" s="159"/>
      <c r="G61" s="159"/>
      <c r="H61" s="148"/>
      <c r="I61" s="148"/>
    </row>
    <row r="62" spans="1:9" ht="13.5" customHeight="1">
      <c r="A62" s="90" t="s">
        <v>60</v>
      </c>
      <c r="B62" s="199"/>
      <c r="C62" s="199"/>
      <c r="D62" s="199"/>
      <c r="E62" s="98"/>
      <c r="F62" s="201"/>
      <c r="G62" s="159"/>
      <c r="H62" s="148"/>
      <c r="I62" s="148"/>
    </row>
    <row r="63" spans="1:9" ht="13.5" customHeight="1">
      <c r="A63" s="90" t="s">
        <v>135</v>
      </c>
      <c r="B63" s="204"/>
      <c r="C63" s="204"/>
      <c r="D63" s="204"/>
      <c r="E63" s="98"/>
      <c r="F63" s="201"/>
      <c r="G63" s="159"/>
      <c r="H63" s="148"/>
      <c r="I63" s="148"/>
    </row>
    <row r="64" spans="1:9" ht="13.5" customHeight="1">
      <c r="A64" s="90" t="s">
        <v>136</v>
      </c>
      <c r="B64" s="196"/>
      <c r="C64" s="196"/>
      <c r="D64" s="196"/>
      <c r="E64" s="98"/>
      <c r="F64" s="201"/>
      <c r="G64" s="159"/>
      <c r="H64" s="148"/>
      <c r="I64" s="148"/>
    </row>
    <row r="65" spans="1:9" ht="13.5" customHeight="1">
      <c r="A65" s="90" t="s">
        <v>199</v>
      </c>
      <c r="B65" s="199"/>
      <c r="C65" s="199"/>
      <c r="D65" s="199"/>
      <c r="E65" s="98"/>
      <c r="F65" s="98"/>
      <c r="G65" s="98"/>
      <c r="H65" s="125"/>
    </row>
    <row r="66" spans="1:9" ht="13.5" customHeight="1">
      <c r="A66" s="90" t="s">
        <v>195</v>
      </c>
      <c r="B66" s="199"/>
      <c r="C66" s="199"/>
      <c r="D66" s="199"/>
      <c r="E66" s="98"/>
      <c r="H66" s="125"/>
      <c r="I66" s="99" t="s">
        <v>196</v>
      </c>
    </row>
    <row r="67" spans="1:9" ht="13.5" customHeight="1">
      <c r="B67" s="129"/>
      <c r="C67" s="129"/>
      <c r="D67" s="129"/>
      <c r="H67" s="125"/>
    </row>
    <row r="68" spans="1:9" ht="13.5" customHeight="1" thickBot="1">
      <c r="A68" s="96" t="s">
        <v>137</v>
      </c>
      <c r="H68" s="226"/>
      <c r="I68" s="227" t="s">
        <v>263</v>
      </c>
    </row>
    <row r="69" spans="1:9" ht="13.5" customHeight="1">
      <c r="A69" s="90" t="s">
        <v>138</v>
      </c>
      <c r="B69" s="199"/>
      <c r="C69" s="199"/>
      <c r="D69" s="199"/>
    </row>
    <row r="70" spans="1:9" ht="13.5" customHeight="1">
      <c r="A70" s="90" t="s">
        <v>139</v>
      </c>
      <c r="B70" s="199"/>
      <c r="C70" s="199"/>
      <c r="D70" s="199"/>
    </row>
    <row r="71" spans="1:9" ht="13.5" customHeight="1">
      <c r="A71" s="90" t="s">
        <v>140</v>
      </c>
      <c r="B71" s="199"/>
      <c r="C71" s="199"/>
      <c r="D71" s="199"/>
    </row>
    <row r="72" spans="1:9" ht="13.5" customHeight="1">
      <c r="A72" s="90" t="s">
        <v>141</v>
      </c>
      <c r="B72" s="205"/>
      <c r="C72" s="205"/>
      <c r="D72" s="205"/>
      <c r="H72" s="230">
        <v>0.25</v>
      </c>
      <c r="I72" s="230">
        <v>0.25</v>
      </c>
    </row>
    <row r="73" spans="1:9" ht="13.5" customHeight="1">
      <c r="A73" s="90" t="s">
        <v>277</v>
      </c>
      <c r="B73" s="206"/>
      <c r="C73" s="206"/>
      <c r="D73" s="206"/>
    </row>
    <row r="74" spans="1:9" ht="13.5" customHeight="1">
      <c r="A74" s="225" t="s">
        <v>278</v>
      </c>
      <c r="B74" s="206"/>
      <c r="C74" s="206"/>
      <c r="D74" s="206"/>
      <c r="H74" s="207"/>
      <c r="I74" s="207"/>
    </row>
    <row r="75" spans="1:9" ht="13.5" customHeight="1">
      <c r="B75" s="136"/>
      <c r="C75" s="136"/>
      <c r="D75" s="136"/>
    </row>
    <row r="76" spans="1:9" ht="13.5" customHeight="1">
      <c r="A76" s="95"/>
      <c r="B76" s="129"/>
      <c r="D76" s="129"/>
    </row>
    <row r="77" spans="1:9" ht="13.5" customHeight="1">
      <c r="A77" s="95"/>
      <c r="B77" s="167"/>
      <c r="C77" s="167"/>
      <c r="D77" s="167"/>
    </row>
    <row r="78" spans="1:9" ht="13.5" customHeight="1">
      <c r="A78" s="95"/>
    </row>
    <row r="79" spans="1:9" ht="13.5" customHeight="1">
      <c r="A79" s="95"/>
      <c r="B79" s="137"/>
      <c r="C79" s="138"/>
      <c r="D79" s="138"/>
    </row>
    <row r="80" spans="1:9" ht="13.5" customHeight="1">
      <c r="A80" s="95"/>
      <c r="B80" s="139"/>
      <c r="C80" s="139"/>
      <c r="D80" s="139"/>
    </row>
    <row r="81" spans="1:4" ht="13.5" customHeight="1">
      <c r="A81" s="95"/>
      <c r="B81" s="139"/>
      <c r="C81" s="139"/>
      <c r="D81" s="139"/>
    </row>
    <row r="82" spans="1:4" ht="13.5" customHeight="1">
      <c r="A82" s="95"/>
      <c r="B82" s="140"/>
      <c r="C82" s="140"/>
      <c r="D82" s="140"/>
    </row>
    <row r="83" spans="1:4" ht="13.5" customHeight="1">
      <c r="A83" s="95"/>
      <c r="B83" s="110"/>
      <c r="C83" s="139"/>
      <c r="D83" s="139"/>
    </row>
    <row r="84" spans="1:4" ht="13.5" customHeight="1">
      <c r="B84" s="110"/>
      <c r="C84" s="141"/>
      <c r="D84" s="141"/>
    </row>
    <row r="85" spans="1:4" ht="13.5" customHeight="1">
      <c r="B85" s="139"/>
      <c r="C85" s="141"/>
      <c r="D85" s="141"/>
    </row>
    <row r="86" spans="1:4" ht="13.5" customHeight="1">
      <c r="B86" s="139"/>
      <c r="C86" s="141"/>
      <c r="D86" s="141"/>
    </row>
    <row r="87" spans="1:4" ht="13.5" customHeight="1">
      <c r="A87" s="95"/>
      <c r="B87" s="139"/>
      <c r="C87" s="141"/>
      <c r="D87" s="141"/>
    </row>
    <row r="88" spans="1:4" ht="13.5" customHeight="1">
      <c r="B88" s="142"/>
      <c r="C88" s="143"/>
      <c r="D88" s="143"/>
    </row>
    <row r="89" spans="1:4" ht="13.5" customHeight="1">
      <c r="B89" s="142"/>
      <c r="C89" s="143"/>
      <c r="D89" s="143"/>
    </row>
    <row r="90" spans="1:4" ht="13.5" customHeight="1">
      <c r="A90" s="95"/>
    </row>
    <row r="92" spans="1:4" ht="13.5" customHeight="1">
      <c r="A92" s="95"/>
      <c r="B92" s="127"/>
      <c r="C92" s="127"/>
      <c r="D92" s="127"/>
    </row>
    <row r="93" spans="1:4" ht="13.5" customHeight="1">
      <c r="A93" s="95"/>
      <c r="B93" s="127"/>
      <c r="C93" s="127"/>
      <c r="D93" s="127"/>
    </row>
    <row r="94" spans="1:4" ht="13.5" customHeight="1">
      <c r="B94" s="127"/>
      <c r="C94" s="127"/>
      <c r="D94" s="127"/>
    </row>
    <row r="95" spans="1:4" ht="13.5" customHeight="1">
      <c r="B95" s="127"/>
      <c r="C95" s="127"/>
      <c r="D95" s="127"/>
    </row>
    <row r="96" spans="1:4" ht="13.5" customHeight="1">
      <c r="B96" s="127"/>
      <c r="C96" s="127"/>
      <c r="D96" s="127"/>
    </row>
    <row r="97" spans="1:4" ht="13.5" customHeight="1">
      <c r="A97" s="95"/>
      <c r="B97" s="127"/>
      <c r="C97" s="127"/>
      <c r="D97" s="127"/>
    </row>
    <row r="98" spans="1:4" ht="13.5" customHeight="1">
      <c r="B98" s="127"/>
      <c r="C98" s="127"/>
      <c r="D98" s="127"/>
    </row>
    <row r="99" spans="1:4" ht="13.5" customHeight="1">
      <c r="B99" s="127"/>
      <c r="C99" s="127"/>
      <c r="D99" s="127"/>
    </row>
    <row r="100" spans="1:4" ht="13.5" customHeight="1">
      <c r="B100" s="127"/>
      <c r="C100" s="127"/>
      <c r="D100" s="127"/>
    </row>
    <row r="101" spans="1:4" ht="13.5" customHeight="1">
      <c r="A101" s="144"/>
      <c r="B101" s="127"/>
      <c r="C101" s="127"/>
      <c r="D101" s="127"/>
    </row>
    <row r="102" spans="1:4" ht="13.5" customHeight="1">
      <c r="B102" s="127"/>
      <c r="C102" s="127"/>
      <c r="D102" s="127"/>
    </row>
    <row r="103" spans="1:4" ht="13.5" customHeight="1">
      <c r="B103" s="127"/>
      <c r="C103" s="127"/>
      <c r="D103" s="127"/>
    </row>
    <row r="104" spans="1:4" ht="13.5" customHeight="1">
      <c r="A104" s="95"/>
    </row>
    <row r="105" spans="1:4" ht="13.5" customHeight="1">
      <c r="B105" s="110"/>
      <c r="C105" s="110"/>
      <c r="D105" s="110"/>
    </row>
    <row r="106" spans="1:4" ht="13.5" customHeight="1">
      <c r="B106" s="110"/>
      <c r="C106" s="110"/>
      <c r="D106" s="110"/>
    </row>
    <row r="107" spans="1:4" ht="13.5" customHeight="1">
      <c r="A107" s="95"/>
      <c r="B107" s="110"/>
      <c r="C107" s="110"/>
      <c r="D107" s="110"/>
    </row>
    <row r="108" spans="1:4" ht="13.5" customHeight="1">
      <c r="B108" s="110"/>
      <c r="C108" s="110"/>
      <c r="D108" s="110"/>
    </row>
    <row r="109" spans="1:4" ht="13.5" customHeight="1">
      <c r="A109" s="95"/>
      <c r="B109" s="110"/>
      <c r="C109" s="110"/>
      <c r="D109" s="110"/>
    </row>
    <row r="110" spans="1:4" ht="13.5" customHeight="1">
      <c r="A110" s="95"/>
      <c r="B110" s="110"/>
      <c r="C110" s="110"/>
      <c r="D110" s="110"/>
    </row>
    <row r="111" spans="1:4" ht="13.5" customHeight="1">
      <c r="A111" s="95"/>
      <c r="B111" s="110"/>
      <c r="C111" s="110"/>
      <c r="D111" s="110"/>
    </row>
    <row r="112" spans="1:4" ht="13.5" customHeight="1">
      <c r="B112" s="110"/>
      <c r="C112" s="110"/>
      <c r="D112" s="110"/>
    </row>
    <row r="113" spans="1:4" ht="13.5" customHeight="1">
      <c r="B113" s="110"/>
      <c r="C113" s="110"/>
      <c r="D113" s="110"/>
    </row>
    <row r="114" spans="1:4" ht="13.5" customHeight="1">
      <c r="B114" s="110"/>
      <c r="C114" s="110"/>
      <c r="D114" s="110"/>
    </row>
    <row r="115" spans="1:4" ht="13.5" customHeight="1">
      <c r="A115" s="95"/>
      <c r="B115" s="110"/>
      <c r="C115" s="110"/>
      <c r="D115" s="110"/>
    </row>
    <row r="116" spans="1:4" ht="13.5" customHeight="1">
      <c r="B116" s="110"/>
      <c r="C116" s="110"/>
      <c r="D116" s="110"/>
    </row>
    <row r="117" spans="1:4" ht="13.5" customHeight="1">
      <c r="B117" s="110"/>
      <c r="C117" s="110"/>
      <c r="D117" s="110"/>
    </row>
    <row r="118" spans="1:4" ht="13.5" customHeight="1">
      <c r="B118" s="124"/>
      <c r="C118" s="124"/>
      <c r="D118" s="128"/>
    </row>
    <row r="119" spans="1:4" ht="13.5" customHeight="1">
      <c r="B119" s="124"/>
      <c r="C119" s="124"/>
      <c r="D119" s="128"/>
    </row>
    <row r="120" spans="1:4" ht="13.5" customHeight="1">
      <c r="A120" s="95"/>
      <c r="B120" s="124"/>
      <c r="C120" s="124"/>
      <c r="D120" s="124"/>
    </row>
    <row r="122" spans="1:4" ht="13.5" customHeight="1">
      <c r="A122" s="95"/>
      <c r="B122" s="145"/>
      <c r="C122" s="145"/>
      <c r="D122" s="145"/>
    </row>
    <row r="123" spans="1:4" ht="13.5" customHeight="1">
      <c r="A123" s="110"/>
      <c r="B123" s="145"/>
      <c r="C123" s="145"/>
      <c r="D123" s="145"/>
    </row>
    <row r="124" spans="1:4" ht="13.5" customHeight="1">
      <c r="A124" s="110"/>
      <c r="B124" s="145"/>
      <c r="C124" s="145"/>
      <c r="D124" s="145"/>
    </row>
    <row r="125" spans="1:4" ht="13.5" customHeight="1">
      <c r="B125" s="145"/>
      <c r="C125" s="146"/>
      <c r="D125" s="146"/>
    </row>
    <row r="126" spans="1:4" ht="13.5" customHeight="1">
      <c r="B126" s="145"/>
      <c r="C126" s="146"/>
      <c r="D126" s="146"/>
    </row>
    <row r="127" spans="1:4" ht="13.5" customHeight="1">
      <c r="A127" s="95"/>
      <c r="C127" s="124"/>
      <c r="D127" s="124"/>
    </row>
    <row r="128" spans="1:4" ht="13.5" customHeight="1">
      <c r="C128" s="124"/>
      <c r="D128" s="124"/>
    </row>
    <row r="132" spans="2:4" ht="13.5" customHeight="1">
      <c r="B132" s="110"/>
      <c r="C132" s="110"/>
      <c r="D132" s="110"/>
    </row>
    <row r="133" spans="2:4" ht="13.5" customHeight="1">
      <c r="B133" s="110"/>
      <c r="C133" s="110"/>
      <c r="D133" s="110"/>
    </row>
    <row r="134" spans="2:4" ht="13.5" customHeight="1">
      <c r="B134" s="110"/>
      <c r="C134" s="110"/>
      <c r="D134" s="110"/>
    </row>
    <row r="135" spans="2:4" ht="13.5" customHeight="1">
      <c r="B135" s="110"/>
      <c r="C135" s="110"/>
      <c r="D135" s="110"/>
    </row>
    <row r="137" spans="2:4" ht="13.5" customHeight="1">
      <c r="B137" s="110"/>
      <c r="C137" s="110"/>
      <c r="D137" s="110"/>
    </row>
    <row r="138" spans="2:4" ht="13.5" customHeight="1">
      <c r="B138" s="110"/>
      <c r="C138" s="110"/>
      <c r="D138" s="110"/>
    </row>
    <row r="140" spans="2:4" ht="13.5" customHeight="1">
      <c r="B140" s="110"/>
      <c r="C140" s="110"/>
      <c r="D140" s="110"/>
    </row>
    <row r="141" spans="2:4" ht="13.5" customHeight="1">
      <c r="B141" s="110"/>
      <c r="C141" s="110"/>
      <c r="D141" s="110"/>
    </row>
    <row r="142" spans="2:4" ht="13.5" customHeight="1">
      <c r="B142" s="110"/>
      <c r="C142" s="110"/>
      <c r="D142" s="110"/>
    </row>
    <row r="144" spans="2:4" ht="13.5" customHeight="1">
      <c r="B144" s="110"/>
      <c r="C144" s="110"/>
      <c r="D144" s="110"/>
    </row>
    <row r="145" spans="2:4" ht="13.5" customHeight="1">
      <c r="B145" s="110"/>
      <c r="C145" s="110"/>
      <c r="D145" s="110"/>
    </row>
    <row r="146" spans="2:4" ht="13.5" customHeight="1">
      <c r="B146" s="110"/>
      <c r="C146" s="110"/>
      <c r="D146" s="110"/>
    </row>
    <row r="147" spans="2:4" ht="13.5" customHeight="1">
      <c r="B147" s="110"/>
      <c r="C147" s="110"/>
      <c r="D147" s="110"/>
    </row>
  </sheetData>
  <phoneticPr fontId="5" type="noConversion"/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28" max="7" man="1"/>
    <brk id="7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17"/>
  <sheetViews>
    <sheetView showGridLines="0" view="pageBreakPreview" zoomScaleNormal="75" workbookViewId="0">
      <selection activeCell="A76" sqref="A76:A95"/>
    </sheetView>
  </sheetViews>
  <sheetFormatPr defaultColWidth="11.3984375" defaultRowHeight="11.5"/>
  <cols>
    <col min="1" max="1" width="23.3984375" style="29" customWidth="1"/>
    <col min="2" max="4" width="10" style="34" customWidth="1"/>
    <col min="5" max="5" width="2.59765625" style="6" customWidth="1"/>
    <col min="6" max="6" width="13" style="6" customWidth="1"/>
    <col min="7" max="7" width="3.09765625" style="6" customWidth="1"/>
    <col min="8" max="8" width="19.59765625" style="6" customWidth="1"/>
    <col min="9" max="16384" width="11.3984375" style="6"/>
  </cols>
  <sheetData>
    <row r="1" spans="1:28" ht="15.65" customHeight="1">
      <c r="A1" s="3" t="s">
        <v>300</v>
      </c>
      <c r="B1" s="161" t="s">
        <v>8</v>
      </c>
      <c r="C1" s="163" t="s">
        <v>182</v>
      </c>
      <c r="D1" s="163" t="s">
        <v>182</v>
      </c>
      <c r="J1" s="7"/>
    </row>
    <row r="2" spans="1:28" ht="17.25" customHeight="1" thickBot="1">
      <c r="A2" s="80" t="s">
        <v>301</v>
      </c>
      <c r="B2" s="162">
        <v>2011</v>
      </c>
      <c r="C2" s="162">
        <f>B2+1</f>
        <v>2012</v>
      </c>
      <c r="D2" s="162">
        <f>C2+1</f>
        <v>2013</v>
      </c>
      <c r="F2" s="79" t="s">
        <v>302</v>
      </c>
      <c r="G2" s="75"/>
      <c r="H2" s="75"/>
      <c r="J2" s="7"/>
    </row>
    <row r="3" spans="1:28" ht="13.5" customHeight="1">
      <c r="A3" s="81" t="s">
        <v>62</v>
      </c>
      <c r="B3" s="10">
        <v>30000</v>
      </c>
      <c r="C3" s="10">
        <f>B3*(1+C79)</f>
        <v>36000</v>
      </c>
      <c r="D3" s="10">
        <f>C3*(1+D79)</f>
        <v>39600</v>
      </c>
      <c r="F3" s="4" t="s">
        <v>74</v>
      </c>
      <c r="G3" s="76"/>
      <c r="H3" s="76"/>
    </row>
    <row r="4" spans="1:28" s="8" customFormat="1" ht="13.5" customHeight="1">
      <c r="A4" s="82" t="s">
        <v>57</v>
      </c>
      <c r="B4" s="15">
        <v>24600</v>
      </c>
      <c r="C4" s="15">
        <f>C3*C80</f>
        <v>29880</v>
      </c>
      <c r="D4" s="15">
        <f>D3*D80</f>
        <v>33264</v>
      </c>
      <c r="E4" s="13"/>
      <c r="F4" s="4" t="s">
        <v>75</v>
      </c>
      <c r="G4" s="76"/>
      <c r="H4" s="7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13" customFormat="1" ht="13.5" customHeight="1">
      <c r="A5" s="83" t="s">
        <v>303</v>
      </c>
      <c r="B5" s="11">
        <v>5400</v>
      </c>
      <c r="C5" s="11">
        <f>C3-C4</f>
        <v>6120</v>
      </c>
      <c r="D5" s="11">
        <f>D3-D4</f>
        <v>6336</v>
      </c>
      <c r="F5" s="4"/>
      <c r="G5" s="76"/>
      <c r="H5" s="76"/>
      <c r="J5" s="44"/>
    </row>
    <row r="6" spans="1:28" ht="13.5" customHeight="1">
      <c r="A6" s="84" t="s">
        <v>304</v>
      </c>
      <c r="B6" s="10">
        <v>1800</v>
      </c>
      <c r="C6" s="10">
        <f>B6*(1+C81)</f>
        <v>2160</v>
      </c>
      <c r="D6" s="10">
        <f>C6*(1+D81)</f>
        <v>2376</v>
      </c>
      <c r="E6" s="13"/>
      <c r="F6" s="4" t="s">
        <v>76</v>
      </c>
      <c r="G6" s="76"/>
      <c r="H6" s="76"/>
      <c r="I6" s="13"/>
      <c r="J6" s="13"/>
      <c r="K6" s="13"/>
      <c r="L6" s="13"/>
      <c r="M6" s="13"/>
      <c r="N6" s="13"/>
      <c r="O6" s="13"/>
    </row>
    <row r="7" spans="1:28" ht="13.5" customHeight="1">
      <c r="A7" s="85" t="s">
        <v>305</v>
      </c>
      <c r="B7" s="47">
        <v>470</v>
      </c>
      <c r="C7" s="10">
        <f>B7*(1+C82)</f>
        <v>564</v>
      </c>
      <c r="D7" s="10">
        <f>C7*(1+D82)</f>
        <v>620.40000000000009</v>
      </c>
      <c r="E7" s="48"/>
      <c r="F7" s="4" t="s">
        <v>76</v>
      </c>
      <c r="G7" s="76"/>
      <c r="H7" s="76"/>
      <c r="I7" s="13"/>
      <c r="J7" s="13"/>
      <c r="K7" s="13"/>
    </row>
    <row r="8" spans="1:28" ht="13.5" customHeight="1">
      <c r="A8" s="86" t="s">
        <v>181</v>
      </c>
      <c r="B8" s="15">
        <v>2270</v>
      </c>
      <c r="C8" s="15">
        <f>C6+C7</f>
        <v>2724</v>
      </c>
      <c r="D8" s="15">
        <f>D6+D7</f>
        <v>2996.4</v>
      </c>
      <c r="F8" s="4"/>
      <c r="G8" s="76"/>
      <c r="H8" s="76"/>
      <c r="I8" s="13"/>
      <c r="J8" s="13"/>
      <c r="K8" s="13"/>
    </row>
    <row r="9" spans="1:28" ht="13.5" customHeight="1">
      <c r="A9" s="87" t="s">
        <v>29</v>
      </c>
      <c r="B9" s="10">
        <v>3130</v>
      </c>
      <c r="C9" s="10">
        <f>C5-C8</f>
        <v>3396</v>
      </c>
      <c r="D9" s="10">
        <f>D5-D8</f>
        <v>3339.6</v>
      </c>
      <c r="G9" s="76"/>
      <c r="H9" s="76"/>
    </row>
    <row r="10" spans="1:28" ht="13.5" customHeight="1">
      <c r="A10" s="82" t="s">
        <v>306</v>
      </c>
      <c r="B10" s="15">
        <v>600</v>
      </c>
      <c r="C10" s="15">
        <f>C84*B35</f>
        <v>600</v>
      </c>
      <c r="D10" s="15">
        <f>D84*C35</f>
        <v>600</v>
      </c>
      <c r="F10" s="53" t="s">
        <v>77</v>
      </c>
      <c r="G10" s="76"/>
      <c r="H10" s="76"/>
    </row>
    <row r="11" spans="1:28" ht="13.5" customHeight="1">
      <c r="A11" s="83" t="s">
        <v>307</v>
      </c>
      <c r="B11" s="11">
        <v>2530</v>
      </c>
      <c r="C11" s="12">
        <f>C9-C10</f>
        <v>2796</v>
      </c>
      <c r="D11" s="11">
        <f>D9-D10</f>
        <v>2739.6</v>
      </c>
      <c r="G11" s="76"/>
      <c r="H11" s="76"/>
    </row>
    <row r="12" spans="1:28" ht="13.5" customHeight="1">
      <c r="A12" s="83" t="s">
        <v>308</v>
      </c>
      <c r="B12" s="15">
        <v>526.68842276942621</v>
      </c>
      <c r="C12" s="12">
        <f ca="1">C83*(C43+C41)</f>
        <v>572.57653835477709</v>
      </c>
      <c r="D12" s="15">
        <f ca="1">D83*(D43+D41)</f>
        <v>488.12292747789161</v>
      </c>
      <c r="F12" s="53" t="s">
        <v>78</v>
      </c>
      <c r="G12" s="76"/>
      <c r="H12" s="76"/>
      <c r="I12" s="49"/>
    </row>
    <row r="13" spans="1:28" ht="13.5" customHeight="1">
      <c r="A13" s="81" t="s">
        <v>309</v>
      </c>
      <c r="B13" s="11">
        <v>2003.3115772305737</v>
      </c>
      <c r="C13" s="11">
        <f ca="1">C11-C12</f>
        <v>2223.4234616452231</v>
      </c>
      <c r="D13" s="11">
        <f ca="1">D11-D12</f>
        <v>2251.4770725221083</v>
      </c>
      <c r="G13" s="76"/>
      <c r="H13" s="76"/>
    </row>
    <row r="14" spans="1:28" ht="13.5" customHeight="1">
      <c r="A14" s="82" t="s">
        <v>63</v>
      </c>
      <c r="B14" s="15">
        <v>600.99347316917203</v>
      </c>
      <c r="C14" s="15">
        <f ca="1">C13*C85</f>
        <v>667.02703849356692</v>
      </c>
      <c r="D14" s="15">
        <f ca="1">D13*D85</f>
        <v>675.44312175663242</v>
      </c>
      <c r="F14" s="4" t="s">
        <v>79</v>
      </c>
      <c r="G14" s="76"/>
      <c r="H14" s="76"/>
    </row>
    <row r="15" spans="1:28" ht="13.5" customHeight="1">
      <c r="A15" s="82" t="s">
        <v>310</v>
      </c>
      <c r="B15" s="15">
        <v>1402.3181040614018</v>
      </c>
      <c r="C15" s="15">
        <f ca="1">C13-C14</f>
        <v>1556.3964231516561</v>
      </c>
      <c r="D15" s="15">
        <f ca="1">D13-D14</f>
        <v>1576.0339507654758</v>
      </c>
      <c r="F15" s="76"/>
      <c r="G15" s="76"/>
      <c r="H15" s="76"/>
      <c r="I15" s="49"/>
    </row>
    <row r="16" spans="1:28" ht="13.5" customHeight="1">
      <c r="A16" s="88"/>
    </row>
    <row r="17" spans="1:8" ht="13.5" customHeight="1" thickBot="1">
      <c r="A17" s="89" t="s">
        <v>311</v>
      </c>
      <c r="B17" s="51"/>
      <c r="C17" s="52"/>
      <c r="D17" s="52"/>
      <c r="E17" s="53"/>
      <c r="F17" s="53"/>
      <c r="G17" s="53"/>
      <c r="H17" s="53"/>
    </row>
    <row r="18" spans="1:8" ht="13.5" customHeight="1">
      <c r="A18" s="90" t="s">
        <v>64</v>
      </c>
      <c r="B18" s="54">
        <v>0.5</v>
      </c>
      <c r="C18" s="54">
        <f>C79</f>
        <v>0.2</v>
      </c>
      <c r="D18" s="54">
        <f>D79</f>
        <v>0.1</v>
      </c>
      <c r="E18" s="53"/>
      <c r="F18" s="53"/>
      <c r="G18" s="53"/>
      <c r="H18" s="53"/>
    </row>
    <row r="19" spans="1:8" ht="13.5" customHeight="1">
      <c r="A19" s="90" t="s">
        <v>312</v>
      </c>
      <c r="B19" s="55">
        <f>B5/B3</f>
        <v>0.18</v>
      </c>
      <c r="C19" s="55">
        <f>C5/C3</f>
        <v>0.17</v>
      </c>
      <c r="D19" s="55">
        <f>D5/D3</f>
        <v>0.16</v>
      </c>
      <c r="E19" s="53"/>
      <c r="F19" s="2"/>
      <c r="G19" s="53"/>
      <c r="H19" s="53"/>
    </row>
    <row r="20" spans="1:8" ht="13.5" customHeight="1">
      <c r="A20" s="17" t="s">
        <v>313</v>
      </c>
      <c r="B20" s="55">
        <f>B8/B3</f>
        <v>7.566666666666666E-2</v>
      </c>
      <c r="C20" s="55">
        <f>C8/C3</f>
        <v>7.566666666666666E-2</v>
      </c>
      <c r="D20" s="55">
        <f>D8/D3</f>
        <v>7.5666666666666674E-2</v>
      </c>
      <c r="E20" s="53"/>
      <c r="F20" s="2"/>
      <c r="G20" s="53"/>
      <c r="H20" s="53"/>
    </row>
    <row r="21" spans="1:8" ht="13.5" customHeight="1">
      <c r="A21" s="56" t="s">
        <v>166</v>
      </c>
      <c r="B21" s="55">
        <v>0.64</v>
      </c>
      <c r="C21" s="55">
        <f>C8/B8-1</f>
        <v>0.19999999999999996</v>
      </c>
      <c r="D21" s="55">
        <f>D8/C8-1</f>
        <v>0.10000000000000009</v>
      </c>
      <c r="E21" s="53"/>
      <c r="G21" s="53"/>
      <c r="H21" s="53"/>
    </row>
    <row r="22" spans="1:8" ht="13.5" customHeight="1">
      <c r="A22" s="90" t="s">
        <v>314</v>
      </c>
      <c r="B22" s="55">
        <f>B9/B3</f>
        <v>0.10433333333333333</v>
      </c>
      <c r="C22" s="55">
        <f>C9/C3</f>
        <v>9.4333333333333338E-2</v>
      </c>
      <c r="D22" s="55">
        <f>D9/D3</f>
        <v>8.433333333333333E-2</v>
      </c>
      <c r="E22" s="53"/>
      <c r="G22" s="53"/>
      <c r="H22" s="53"/>
    </row>
    <row r="23" spans="1:8" ht="13.5" customHeight="1">
      <c r="A23" s="91" t="s">
        <v>316</v>
      </c>
      <c r="B23" s="57">
        <f>B15/B3</f>
        <v>4.6743936802046727E-2</v>
      </c>
      <c r="C23" s="57">
        <f ca="1">C15/C3</f>
        <v>4.3233233976434894E-2</v>
      </c>
      <c r="D23" s="57">
        <f ca="1">D15/D3</f>
        <v>3.9798837140542317E-2</v>
      </c>
      <c r="E23" s="53"/>
      <c r="F23" s="98"/>
      <c r="G23" s="53"/>
      <c r="H23" s="53"/>
    </row>
    <row r="24" spans="1:8" ht="13.5" customHeight="1">
      <c r="A24" s="90" t="s">
        <v>315</v>
      </c>
      <c r="B24" s="55">
        <f>B15/B44</f>
        <v>0.29965195605710171</v>
      </c>
      <c r="C24" s="55">
        <f ca="1">C15/C44</f>
        <v>0.25589614030260244</v>
      </c>
      <c r="D24" s="55">
        <f ca="1">D15/D44</f>
        <v>0.20632666309975448</v>
      </c>
      <c r="E24" s="53"/>
      <c r="F24" s="98"/>
      <c r="G24" s="53"/>
      <c r="H24" s="53"/>
    </row>
    <row r="25" spans="1:8" ht="13.5" customHeight="1">
      <c r="A25" s="90" t="s">
        <v>317</v>
      </c>
      <c r="B25" s="55">
        <f ca="1">B11/B54</f>
        <v>0.22292663333529761</v>
      </c>
      <c r="C25" s="55">
        <f ca="1">C11/C54</f>
        <v>0.2092140553062363</v>
      </c>
      <c r="D25" s="55">
        <f ca="1">D11/D54</f>
        <v>0.19435575571510089</v>
      </c>
      <c r="E25" s="53"/>
      <c r="F25" s="98"/>
      <c r="G25" s="53"/>
      <c r="H25" s="53"/>
    </row>
    <row r="26" spans="1:8" ht="13.5" customHeight="1">
      <c r="A26" s="90" t="s">
        <v>318</v>
      </c>
      <c r="B26" s="58">
        <f>B15+B10</f>
        <v>2002.3181040614018</v>
      </c>
      <c r="C26" s="58">
        <f ca="1">C15+C10</f>
        <v>2156.3964231516561</v>
      </c>
      <c r="D26" s="58">
        <f ca="1">D15+D10</f>
        <v>2176.0339507654758</v>
      </c>
      <c r="E26" s="53"/>
      <c r="F26" s="98" t="s">
        <v>319</v>
      </c>
      <c r="G26" s="53"/>
      <c r="H26" s="53"/>
    </row>
    <row r="27" spans="1:8" ht="13.5" customHeight="1">
      <c r="A27" s="90"/>
      <c r="B27" s="59"/>
      <c r="C27" s="59"/>
      <c r="D27" s="59"/>
      <c r="E27" s="53"/>
      <c r="F27" s="53"/>
      <c r="G27" s="53"/>
      <c r="H27" s="53"/>
    </row>
    <row r="28" spans="1:8" ht="13.5" customHeight="1">
      <c r="A28" s="90"/>
      <c r="B28" s="59"/>
      <c r="C28" s="59"/>
      <c r="D28" s="59"/>
      <c r="E28" s="53"/>
      <c r="F28" s="53"/>
      <c r="G28" s="53"/>
      <c r="H28" s="53"/>
    </row>
    <row r="29" spans="1:8" ht="13.5" customHeight="1">
      <c r="A29" s="3" t="s">
        <v>65</v>
      </c>
      <c r="B29" s="161" t="s">
        <v>8</v>
      </c>
      <c r="C29" s="163" t="s">
        <v>182</v>
      </c>
      <c r="D29" s="163" t="s">
        <v>182</v>
      </c>
    </row>
    <row r="30" spans="1:8" ht="13.5" customHeight="1" thickBot="1">
      <c r="A30" s="92" t="s">
        <v>301</v>
      </c>
      <c r="B30" s="162">
        <v>2011</v>
      </c>
      <c r="C30" s="162">
        <f>B30+1</f>
        <v>2012</v>
      </c>
      <c r="D30" s="162">
        <f>C30+1</f>
        <v>2013</v>
      </c>
      <c r="F30" s="77" t="s">
        <v>324</v>
      </c>
      <c r="H30" s="79" t="s">
        <v>80</v>
      </c>
    </row>
    <row r="31" spans="1:8" ht="13.5" customHeight="1">
      <c r="A31" s="81" t="s">
        <v>66</v>
      </c>
      <c r="B31" s="10">
        <v>50.000000000001819</v>
      </c>
      <c r="C31" s="10">
        <f ca="1">MAX(C46-C32-C33-C35,C95)</f>
        <v>50</v>
      </c>
      <c r="D31" s="10">
        <f ca="1">MAX(D46-D32-D33-D35,D95)</f>
        <v>50</v>
      </c>
      <c r="F31" s="60">
        <f ca="1">D31-B31</f>
        <v>-1.8189894035458565E-12</v>
      </c>
      <c r="H31" s="5" t="s">
        <v>81</v>
      </c>
    </row>
    <row r="32" spans="1:8" ht="13.5" customHeight="1">
      <c r="A32" s="87" t="s">
        <v>320</v>
      </c>
      <c r="B32" s="10">
        <v>6575.3424657534242</v>
      </c>
      <c r="C32" s="10">
        <f>C3/365*C88</f>
        <v>8876.7123287671238</v>
      </c>
      <c r="D32" s="10">
        <f>D3/365*D88</f>
        <v>9764.3835616438355</v>
      </c>
      <c r="F32" s="60">
        <f>D32-B32</f>
        <v>3189.0410958904113</v>
      </c>
      <c r="H32" s="5" t="s">
        <v>82</v>
      </c>
    </row>
    <row r="33" spans="1:8" ht="13.5" customHeight="1">
      <c r="A33" s="87" t="s">
        <v>67</v>
      </c>
      <c r="B33" s="10">
        <v>1347.9452054794522</v>
      </c>
      <c r="C33" s="10">
        <f>C4/365*C89</f>
        <v>1637.2602739726028</v>
      </c>
      <c r="D33" s="10">
        <f>D4/365*D89</f>
        <v>1822.6849315068491</v>
      </c>
      <c r="F33" s="60">
        <f>D33-B33</f>
        <v>474.73972602739696</v>
      </c>
      <c r="H33" s="5" t="s">
        <v>83</v>
      </c>
    </row>
    <row r="34" spans="1:8" ht="13.5" customHeight="1">
      <c r="A34" s="81" t="s">
        <v>321</v>
      </c>
      <c r="B34" s="11">
        <v>7973.287671232878</v>
      </c>
      <c r="C34" s="11">
        <f ca="1">SUM(C31:C33)</f>
        <v>10563.972602739726</v>
      </c>
      <c r="D34" s="11">
        <f ca="1">SUM(D31:D33)</f>
        <v>11637.068493150684</v>
      </c>
      <c r="F34" s="60"/>
      <c r="H34" s="5"/>
    </row>
    <row r="35" spans="1:8" ht="13.5" customHeight="1">
      <c r="A35" s="82" t="s">
        <v>322</v>
      </c>
      <c r="B35" s="15">
        <v>6000</v>
      </c>
      <c r="C35" s="15">
        <f>B35+C91-C10</f>
        <v>6000</v>
      </c>
      <c r="D35" s="15">
        <f>C35+D91-D10</f>
        <v>6000</v>
      </c>
      <c r="F35" s="60">
        <f>D35-B35</f>
        <v>0</v>
      </c>
      <c r="H35" s="5" t="s">
        <v>325</v>
      </c>
    </row>
    <row r="36" spans="1:8" ht="13.5" customHeight="1">
      <c r="A36" s="82" t="s">
        <v>323</v>
      </c>
      <c r="B36" s="22">
        <v>13973.287671232878</v>
      </c>
      <c r="C36" s="22">
        <f ca="1">C34+C35</f>
        <v>16563.972602739726</v>
      </c>
      <c r="D36" s="22">
        <f ca="1">D34+D35</f>
        <v>17637.068493150684</v>
      </c>
      <c r="F36" s="60"/>
      <c r="H36" s="5"/>
    </row>
    <row r="37" spans="1:8" ht="13.5" customHeight="1">
      <c r="A37" s="88"/>
      <c r="B37" s="34" t="s">
        <v>4</v>
      </c>
      <c r="D37" s="34" t="s">
        <v>4</v>
      </c>
      <c r="F37" s="61"/>
      <c r="H37" s="5"/>
    </row>
    <row r="38" spans="1:8" ht="13.5" customHeight="1">
      <c r="A38" s="3" t="s">
        <v>326</v>
      </c>
      <c r="B38" s="3"/>
      <c r="F38" s="61"/>
      <c r="H38" s="5"/>
    </row>
    <row r="39" spans="1:8" ht="13.5" customHeight="1">
      <c r="A39" s="81" t="s">
        <v>68</v>
      </c>
      <c r="B39" s="11">
        <v>2023.2689059861136</v>
      </c>
      <c r="C39" s="11">
        <f>C48/365*C90</f>
        <v>2479.6697316569716</v>
      </c>
      <c r="D39" s="11">
        <f>D48/365*D90</f>
        <v>2749.2677800713082</v>
      </c>
      <c r="F39" s="60">
        <f>D39-B39</f>
        <v>725.99887408519453</v>
      </c>
      <c r="H39" s="5" t="s">
        <v>84</v>
      </c>
    </row>
    <row r="40" spans="1:8" ht="13.5" customHeight="1">
      <c r="A40" s="106" t="s">
        <v>327</v>
      </c>
      <c r="B40" s="10">
        <v>600.99347316917203</v>
      </c>
      <c r="C40" s="10">
        <f>C92*C3</f>
        <v>720</v>
      </c>
      <c r="D40" s="10">
        <f>D92*D3</f>
        <v>792</v>
      </c>
      <c r="F40" s="60">
        <f>D40-B40</f>
        <v>191.00652683082797</v>
      </c>
      <c r="H40" s="5" t="s">
        <v>331</v>
      </c>
    </row>
    <row r="41" spans="1:8" ht="13.5" customHeight="1">
      <c r="A41" s="82" t="s">
        <v>69</v>
      </c>
      <c r="B41" s="10">
        <v>3266.8842276942623</v>
      </c>
      <c r="C41" s="10">
        <f ca="1">MAX(C62-C63,0)</f>
        <v>4225.7653835477704</v>
      </c>
      <c r="D41" s="10">
        <f ca="1">MAX(D62-D63,0)</f>
        <v>3881.2292747789161</v>
      </c>
      <c r="F41" s="60">
        <f ca="1">D41-B41</f>
        <v>614.34504708465374</v>
      </c>
      <c r="H41" s="5" t="s">
        <v>332</v>
      </c>
    </row>
    <row r="42" spans="1:8" ht="13.5" customHeight="1">
      <c r="A42" s="81" t="s">
        <v>328</v>
      </c>
      <c r="B42" s="11">
        <v>5891.1466068495483</v>
      </c>
      <c r="C42" s="11">
        <f ca="1">C39+C40+C41</f>
        <v>7425.435115204742</v>
      </c>
      <c r="D42" s="11">
        <f ca="1">D39+D40+D41</f>
        <v>7422.4970548502242</v>
      </c>
      <c r="F42" s="60"/>
      <c r="H42" s="5"/>
    </row>
    <row r="43" spans="1:8" ht="13.5" customHeight="1">
      <c r="A43" s="87" t="s">
        <v>329</v>
      </c>
      <c r="B43" s="10">
        <v>2000</v>
      </c>
      <c r="C43" s="10">
        <f>B43+C93</f>
        <v>1500</v>
      </c>
      <c r="D43" s="10">
        <f>C43+D93</f>
        <v>1000</v>
      </c>
      <c r="F43" s="60">
        <f>D43-B43</f>
        <v>-1000</v>
      </c>
      <c r="H43" s="5" t="s">
        <v>333</v>
      </c>
    </row>
    <row r="44" spans="1:8" ht="13.5" customHeight="1">
      <c r="A44" s="87" t="s">
        <v>330</v>
      </c>
      <c r="B44" s="10">
        <v>4679.822960321927</v>
      </c>
      <c r="C44" s="10">
        <f>B44+B45*(1-B94)</f>
        <v>6082.1410643833287</v>
      </c>
      <c r="D44" s="10">
        <f ca="1">C44+C45*(1-C94)</f>
        <v>7638.5374875349844</v>
      </c>
      <c r="F44" s="60">
        <f ca="1">D44-B44</f>
        <v>2958.7145272130574</v>
      </c>
      <c r="H44" s="5" t="s">
        <v>85</v>
      </c>
    </row>
    <row r="45" spans="1:8" ht="13.5" customHeight="1">
      <c r="A45" s="82" t="s">
        <v>70</v>
      </c>
      <c r="B45" s="15">
        <v>1402.3181040614018</v>
      </c>
      <c r="C45" s="15">
        <f ca="1">C15</f>
        <v>1556.3964231516561</v>
      </c>
      <c r="D45" s="15">
        <f ca="1">D15</f>
        <v>1576.0339507654758</v>
      </c>
      <c r="F45" s="60">
        <f ca="1">D45-B45</f>
        <v>173.71584670407401</v>
      </c>
      <c r="H45" s="5"/>
    </row>
    <row r="46" spans="1:8" ht="13.5" customHeight="1">
      <c r="A46" s="93" t="s">
        <v>124</v>
      </c>
      <c r="B46" s="22">
        <v>13973.287671232878</v>
      </c>
      <c r="C46" s="22">
        <f ca="1">C42+C43+C44+C45</f>
        <v>16563.972602739726</v>
      </c>
      <c r="D46" s="22">
        <f ca="1">D42+D43+D44+D45</f>
        <v>17637.068493150684</v>
      </c>
      <c r="H46" s="5"/>
    </row>
    <row r="47" spans="1:8" ht="13.5" customHeight="1">
      <c r="A47" s="94"/>
      <c r="B47" s="12"/>
      <c r="C47" s="12"/>
      <c r="D47" s="12"/>
    </row>
    <row r="48" spans="1:8" ht="13.5" customHeight="1">
      <c r="A48" s="88" t="s">
        <v>59</v>
      </c>
      <c r="B48" s="32">
        <v>24616</v>
      </c>
      <c r="C48" s="32">
        <f>C4+(C33-B33)</f>
        <v>30169.31506849315</v>
      </c>
      <c r="D48" s="32">
        <f>D4+(D33-C33)</f>
        <v>33449.424657534248</v>
      </c>
      <c r="F48" t="s">
        <v>335</v>
      </c>
    </row>
    <row r="49" spans="1:6" ht="13.5" customHeight="1">
      <c r="A49" s="88" t="s">
        <v>334</v>
      </c>
      <c r="B49" s="64"/>
      <c r="C49" s="32">
        <f>C35-B35+C10</f>
        <v>600</v>
      </c>
      <c r="D49" s="32">
        <f>D35-C35+D10</f>
        <v>600</v>
      </c>
      <c r="F49" t="s">
        <v>336</v>
      </c>
    </row>
    <row r="50" spans="1:6" ht="13.5" customHeight="1">
      <c r="A50" s="95"/>
      <c r="B50" s="32"/>
      <c r="C50" s="32"/>
      <c r="D50" s="32"/>
      <c r="F50" s="65"/>
    </row>
    <row r="51" spans="1:6" ht="13.5" customHeight="1" thickBot="1">
      <c r="A51" s="96" t="s">
        <v>337</v>
      </c>
      <c r="B51" s="78">
        <f>B30</f>
        <v>2011</v>
      </c>
      <c r="C51" s="78">
        <f>C30</f>
        <v>2012</v>
      </c>
      <c r="D51" s="78">
        <f>D30</f>
        <v>2013</v>
      </c>
      <c r="E51" s="53"/>
      <c r="F51" s="77" t="str">
        <f>F30</f>
        <v>DOAR 2009-11</v>
      </c>
    </row>
    <row r="52" spans="1:6" ht="19.5" customHeight="1">
      <c r="A52" s="97" t="s">
        <v>338</v>
      </c>
      <c r="B52" s="27">
        <f>B62</f>
        <v>5349.0252920775911</v>
      </c>
      <c r="C52" s="27">
        <f>C62</f>
        <v>7364.3028710827548</v>
      </c>
      <c r="D52" s="27">
        <f>D62</f>
        <v>8095.8007130793758</v>
      </c>
      <c r="E52" s="53"/>
      <c r="F52" s="60">
        <f>D52-B52</f>
        <v>2746.7754210017847</v>
      </c>
    </row>
    <row r="53" spans="1:6" ht="13.5" customHeight="1">
      <c r="A53" s="97" t="s">
        <v>339</v>
      </c>
      <c r="B53" s="28">
        <f>B35</f>
        <v>6000</v>
      </c>
      <c r="C53" s="28">
        <f>C35</f>
        <v>6000</v>
      </c>
      <c r="D53" s="28">
        <f>D35</f>
        <v>6000</v>
      </c>
      <c r="E53" s="53"/>
      <c r="F53" s="60">
        <f>D53-B53</f>
        <v>0</v>
      </c>
    </row>
    <row r="54" spans="1:6" ht="13.5" customHeight="1">
      <c r="A54" s="97" t="s">
        <v>340</v>
      </c>
      <c r="B54" s="27">
        <f ca="1">B59+B52+B53</f>
        <v>11349.025292077591</v>
      </c>
      <c r="C54" s="27">
        <f ca="1">C59+C52+C53</f>
        <v>13364.302871082755</v>
      </c>
      <c r="D54" s="27">
        <f ca="1">D59+D52+D53</f>
        <v>14095.800713079376</v>
      </c>
      <c r="E54" s="53"/>
      <c r="F54" s="60"/>
    </row>
    <row r="55" spans="1:6" ht="12" customHeight="1">
      <c r="B55" s="27"/>
      <c r="C55" s="27"/>
      <c r="D55" s="27"/>
      <c r="E55" s="53"/>
      <c r="F55" s="60"/>
    </row>
    <row r="56" spans="1:6" ht="13.5" customHeight="1">
      <c r="A56" s="97" t="s">
        <v>341</v>
      </c>
      <c r="B56" s="27">
        <f>B41+B43</f>
        <v>5266.8842276942623</v>
      </c>
      <c r="C56" s="27">
        <f ca="1">C41+C43</f>
        <v>5725.7653835477704</v>
      </c>
      <c r="D56" s="27">
        <f ca="1">D41+D43</f>
        <v>4881.2292747789161</v>
      </c>
      <c r="E56" s="53"/>
      <c r="F56" s="60">
        <f ca="1">D56-B56</f>
        <v>-385.65495291534626</v>
      </c>
    </row>
    <row r="57" spans="1:6" ht="13.5" customHeight="1">
      <c r="A57" s="97" t="s">
        <v>342</v>
      </c>
      <c r="B57" s="28">
        <f>B44+B45</f>
        <v>6082.1410643833287</v>
      </c>
      <c r="C57" s="28">
        <f ca="1">C44+C45</f>
        <v>7638.5374875349844</v>
      </c>
      <c r="D57" s="28">
        <f ca="1">D44+D45</f>
        <v>9214.5714383004597</v>
      </c>
      <c r="E57" s="53"/>
      <c r="F57" s="60">
        <f ca="1">D57-B57</f>
        <v>3132.430373917131</v>
      </c>
    </row>
    <row r="58" spans="1:6" ht="13.5" customHeight="1">
      <c r="B58" s="27">
        <f>B56+B57</f>
        <v>11349.025292077591</v>
      </c>
      <c r="C58" s="27">
        <f ca="1">C56+C57</f>
        <v>13364.302871082755</v>
      </c>
      <c r="D58" s="27">
        <f ca="1">D56+D57</f>
        <v>14095.800713079376</v>
      </c>
      <c r="E58" s="53"/>
      <c r="F58" s="61"/>
    </row>
    <row r="59" spans="1:6" ht="13.5" customHeight="1">
      <c r="A59" s="52" t="s">
        <v>343</v>
      </c>
      <c r="B59" s="26">
        <f ca="1">B58-B54</f>
        <v>0</v>
      </c>
      <c r="C59" s="26">
        <f ca="1">C58-C54</f>
        <v>0</v>
      </c>
      <c r="D59" s="26">
        <f ca="1">D58-D54</f>
        <v>0</v>
      </c>
      <c r="E59" s="53"/>
      <c r="F59" s="60">
        <f ca="1">D59-B59</f>
        <v>0</v>
      </c>
    </row>
    <row r="60" spans="1:6" ht="13.5" customHeight="1">
      <c r="A60" s="97"/>
      <c r="B60" s="27"/>
      <c r="C60" s="27"/>
      <c r="D60" s="27"/>
      <c r="E60" s="53"/>
      <c r="F60" s="61"/>
    </row>
    <row r="61" spans="1:6" ht="13.5" customHeight="1" thickBot="1">
      <c r="A61" s="96" t="s">
        <v>344</v>
      </c>
      <c r="B61" s="68"/>
      <c r="C61" s="68"/>
      <c r="D61" s="68"/>
      <c r="E61" s="53"/>
      <c r="F61" s="60"/>
    </row>
    <row r="62" spans="1:6" ht="17.25" customHeight="1">
      <c r="A62" s="90" t="s">
        <v>60</v>
      </c>
      <c r="B62" s="69">
        <f>B95+B32+B33-B39-B40</f>
        <v>5349.0252920775911</v>
      </c>
      <c r="C62" s="69">
        <f>C95+C32+C33-C39-C40</f>
        <v>7364.3028710827548</v>
      </c>
      <c r="D62" s="69">
        <f>D95+D32+D33-D39-D40</f>
        <v>8095.8007130793758</v>
      </c>
      <c r="E62" s="53"/>
      <c r="F62" s="60">
        <f>D62-B62</f>
        <v>2746.7754210017847</v>
      </c>
    </row>
    <row r="63" spans="1:6" ht="13.5" customHeight="1">
      <c r="A63" s="90" t="s">
        <v>71</v>
      </c>
      <c r="B63" s="28">
        <f>B43+B44+B45-B35</f>
        <v>2082.1410643833287</v>
      </c>
      <c r="C63" s="28">
        <f ca="1">C43+C44+C45-C35</f>
        <v>3138.5374875349844</v>
      </c>
      <c r="D63" s="28">
        <f ca="1">D43+D44+D45-D35</f>
        <v>4214.5714383004597</v>
      </c>
      <c r="E63" s="53"/>
      <c r="F63" s="60">
        <f ca="1">D63-B63</f>
        <v>2132.430373917131</v>
      </c>
    </row>
    <row r="64" spans="1:6" ht="13.5" customHeight="1">
      <c r="A64" s="90" t="s">
        <v>72</v>
      </c>
      <c r="B64" s="27">
        <f>B63-B62</f>
        <v>-3266.8842276942623</v>
      </c>
      <c r="C64" s="27">
        <f ca="1">C63-C62</f>
        <v>-4225.7653835477704</v>
      </c>
      <c r="D64" s="27">
        <f ca="1">D63-D62</f>
        <v>-3881.2292747789161</v>
      </c>
      <c r="E64" s="53"/>
      <c r="F64" s="60">
        <f ca="1">D64-B64</f>
        <v>-614.34504708465374</v>
      </c>
    </row>
    <row r="65" spans="1:8" ht="13.5" customHeight="1">
      <c r="A65" s="90" t="s">
        <v>345</v>
      </c>
      <c r="B65" s="69"/>
      <c r="C65" s="69"/>
      <c r="D65" s="69"/>
      <c r="E65" s="53"/>
      <c r="F65" s="53"/>
      <c r="G65" s="70"/>
    </row>
    <row r="66" spans="1:8" ht="13.5" customHeight="1">
      <c r="A66" s="88"/>
      <c r="B66" s="32"/>
      <c r="C66" s="32"/>
      <c r="D66" s="32"/>
      <c r="G66" s="70"/>
    </row>
    <row r="67" spans="1:8" ht="13.5" customHeight="1" thickBot="1">
      <c r="A67" s="96" t="s">
        <v>73</v>
      </c>
      <c r="B67" s="78">
        <f>B51</f>
        <v>2011</v>
      </c>
      <c r="C67" s="78">
        <f>C51</f>
        <v>2012</v>
      </c>
      <c r="D67" s="78">
        <f>D51</f>
        <v>2013</v>
      </c>
    </row>
    <row r="68" spans="1:8" ht="13.5" customHeight="1">
      <c r="A68" s="90" t="s">
        <v>347</v>
      </c>
      <c r="B68" s="69">
        <f t="shared" ref="B68:D69" si="0">B32/B3*365</f>
        <v>80</v>
      </c>
      <c r="C68" s="69">
        <f t="shared" si="0"/>
        <v>90</v>
      </c>
      <c r="D68" s="69">
        <f t="shared" si="0"/>
        <v>90</v>
      </c>
      <c r="H68" s="99" t="s">
        <v>353</v>
      </c>
    </row>
    <row r="69" spans="1:8" ht="13.5" customHeight="1">
      <c r="A69" s="90" t="s">
        <v>346</v>
      </c>
      <c r="B69" s="69">
        <f t="shared" si="0"/>
        <v>20</v>
      </c>
      <c r="C69" s="69">
        <f t="shared" si="0"/>
        <v>20</v>
      </c>
      <c r="D69" s="69">
        <f t="shared" si="0"/>
        <v>20</v>
      </c>
      <c r="H69" s="99" t="s">
        <v>354</v>
      </c>
    </row>
    <row r="70" spans="1:8" ht="13.5" customHeight="1">
      <c r="A70" s="90" t="s">
        <v>348</v>
      </c>
      <c r="B70" s="69">
        <f>B39/B48*365</f>
        <v>30.000534233219511</v>
      </c>
      <c r="C70" s="69">
        <f>C39/C48*365</f>
        <v>30.000000000000004</v>
      </c>
      <c r="D70" s="69">
        <f>D39/D48*365</f>
        <v>30.000000000000004</v>
      </c>
    </row>
    <row r="71" spans="1:8" ht="13.5" customHeight="1">
      <c r="A71" s="90" t="s">
        <v>349</v>
      </c>
      <c r="B71" s="54">
        <f>B62/B3</f>
        <v>0.17830084306925303</v>
      </c>
      <c r="C71" s="54">
        <f>C62/C3</f>
        <v>0.20456396864118764</v>
      </c>
      <c r="D71" s="54">
        <f>D62/D3</f>
        <v>0.20443941194644888</v>
      </c>
    </row>
    <row r="72" spans="1:8" ht="13.5" customHeight="1">
      <c r="A72" s="90" t="s">
        <v>350</v>
      </c>
      <c r="B72" s="72">
        <f>(B42+B43)/B57</f>
        <v>1.29742906705332</v>
      </c>
      <c r="C72" s="72">
        <f ca="1">(C42+C43)/C57</f>
        <v>1.1684743486262643</v>
      </c>
      <c r="D72" s="72">
        <f ca="1">(D42+D43)/D57</f>
        <v>0.91404110448827058</v>
      </c>
    </row>
    <row r="73" spans="1:8" ht="13.5" customHeight="1">
      <c r="A73" s="90" t="s">
        <v>351</v>
      </c>
      <c r="B73" s="72">
        <f>B56/B9</f>
        <v>1.6827106158767611</v>
      </c>
      <c r="C73" s="72">
        <f ca="1">C56/C9</f>
        <v>1.6860322095252562</v>
      </c>
      <c r="D73" s="72">
        <f ca="1">D56/D9</f>
        <v>1.4616209350757325</v>
      </c>
    </row>
    <row r="74" spans="1:8" ht="13.5" customHeight="1">
      <c r="A74" s="90" t="s">
        <v>352</v>
      </c>
      <c r="B74" s="72">
        <f>B56/B15</f>
        <v>3.755841283400879</v>
      </c>
      <c r="C74" s="72">
        <f ca="1">C56/C15</f>
        <v>3.6788605385980437</v>
      </c>
      <c r="D74" s="72">
        <f ca="1">D56/D15</f>
        <v>3.097159977047522</v>
      </c>
      <c r="E74" s="72"/>
    </row>
    <row r="75" spans="1:8" ht="11.25" customHeight="1">
      <c r="A75" s="88"/>
      <c r="B75" s="30"/>
      <c r="C75" s="30"/>
      <c r="D75" s="30"/>
    </row>
    <row r="76" spans="1:8" ht="11.25" customHeight="1">
      <c r="A76" s="31" t="s">
        <v>388</v>
      </c>
      <c r="B76" s="32"/>
      <c r="D76" s="32"/>
    </row>
    <row r="77" spans="1:8" ht="11.25" customHeight="1">
      <c r="A77" s="31" t="s">
        <v>389</v>
      </c>
      <c r="B77" s="33"/>
      <c r="C77" s="33"/>
      <c r="D77" s="33"/>
    </row>
    <row r="78" spans="1:8" ht="11.25" customHeight="1">
      <c r="A78" s="31" t="s">
        <v>390</v>
      </c>
    </row>
    <row r="79" spans="1:8" ht="11.25" customHeight="1">
      <c r="A79" s="31" t="s">
        <v>391</v>
      </c>
      <c r="B79" s="33"/>
      <c r="C79" s="35">
        <v>0.2</v>
      </c>
      <c r="D79" s="35">
        <v>0.1</v>
      </c>
    </row>
    <row r="80" spans="1:8" ht="11.25" customHeight="1">
      <c r="A80" s="31" t="s">
        <v>392</v>
      </c>
      <c r="B80" s="36">
        <v>0.82</v>
      </c>
      <c r="C80" s="36">
        <v>0.83</v>
      </c>
      <c r="D80" s="36">
        <v>0.84</v>
      </c>
    </row>
    <row r="81" spans="1:4" ht="11.25" customHeight="1">
      <c r="A81" s="31" t="s">
        <v>393</v>
      </c>
      <c r="B81" s="36"/>
      <c r="C81" s="36">
        <f>C79</f>
        <v>0.2</v>
      </c>
      <c r="D81" s="36">
        <f>D79</f>
        <v>0.1</v>
      </c>
    </row>
    <row r="82" spans="1:4" ht="11.25" customHeight="1">
      <c r="A82" s="31" t="s">
        <v>305</v>
      </c>
      <c r="B82" s="37"/>
      <c r="C82" s="36">
        <f>C79</f>
        <v>0.2</v>
      </c>
      <c r="D82" s="36">
        <f>D79</f>
        <v>0.1</v>
      </c>
    </row>
    <row r="83" spans="1:4" ht="11.25" customHeight="1">
      <c r="A83" s="31" t="s">
        <v>394</v>
      </c>
      <c r="B83" s="36">
        <v>0.1</v>
      </c>
      <c r="C83" s="36">
        <v>0.1</v>
      </c>
      <c r="D83" s="36">
        <v>0.1</v>
      </c>
    </row>
    <row r="84" spans="1:4" ht="11.25" customHeight="1">
      <c r="A84" s="31" t="s">
        <v>306</v>
      </c>
      <c r="B84" s="36">
        <v>0.1</v>
      </c>
      <c r="C84" s="38">
        <f>B84</f>
        <v>0.1</v>
      </c>
      <c r="D84" s="38">
        <f>C84</f>
        <v>0.1</v>
      </c>
    </row>
    <row r="85" spans="1:4" ht="11.25" customHeight="1">
      <c r="A85" s="31" t="s">
        <v>395</v>
      </c>
      <c r="B85" s="36">
        <v>0.3</v>
      </c>
      <c r="C85" s="38">
        <f>B85</f>
        <v>0.3</v>
      </c>
      <c r="D85" s="38">
        <f>C85</f>
        <v>0.3</v>
      </c>
    </row>
    <row r="86" spans="1:4" ht="11.25" customHeight="1">
      <c r="A86" s="31"/>
      <c r="B86" s="73"/>
      <c r="C86" s="39"/>
      <c r="D86" s="39"/>
    </row>
    <row r="87" spans="1:4" ht="11.25" customHeight="1">
      <c r="A87" s="31" t="s">
        <v>396</v>
      </c>
    </row>
    <row r="88" spans="1:4" ht="11.25" customHeight="1">
      <c r="A88" s="31" t="s">
        <v>397</v>
      </c>
      <c r="B88" s="40">
        <v>80</v>
      </c>
      <c r="C88" s="40">
        <v>90</v>
      </c>
      <c r="D88" s="40">
        <v>90</v>
      </c>
    </row>
    <row r="89" spans="1:4" ht="11.25" customHeight="1">
      <c r="A89" s="31" t="s">
        <v>398</v>
      </c>
      <c r="B89" s="40">
        <v>20</v>
      </c>
      <c r="C89" s="40">
        <v>20</v>
      </c>
      <c r="D89" s="40">
        <v>20</v>
      </c>
    </row>
    <row r="90" spans="1:4" ht="11.25" customHeight="1">
      <c r="A90" s="31" t="s">
        <v>399</v>
      </c>
      <c r="B90" s="40">
        <v>30</v>
      </c>
      <c r="C90" s="40">
        <v>30</v>
      </c>
      <c r="D90" s="40">
        <v>30</v>
      </c>
    </row>
    <row r="91" spans="1:4" ht="11.25" customHeight="1">
      <c r="A91" s="25" t="s">
        <v>400</v>
      </c>
      <c r="B91" s="40"/>
      <c r="C91" s="64">
        <f>C10</f>
        <v>600</v>
      </c>
      <c r="D91" s="64">
        <f>D10</f>
        <v>600</v>
      </c>
    </row>
    <row r="92" spans="1:4" ht="11.25" customHeight="1">
      <c r="A92" s="31" t="s">
        <v>404</v>
      </c>
      <c r="C92" s="35">
        <v>0.02</v>
      </c>
      <c r="D92" s="35">
        <v>0.02</v>
      </c>
    </row>
    <row r="93" spans="1:4" ht="11.25" customHeight="1">
      <c r="A93" s="31" t="s">
        <v>401</v>
      </c>
      <c r="B93" s="40"/>
      <c r="C93" s="40">
        <v>-500</v>
      </c>
      <c r="D93" s="40">
        <v>-500</v>
      </c>
    </row>
    <row r="94" spans="1:4" ht="11.25" customHeight="1">
      <c r="A94" s="31" t="s">
        <v>402</v>
      </c>
      <c r="B94" s="40">
        <v>0</v>
      </c>
      <c r="C94" s="40">
        <v>0</v>
      </c>
      <c r="D94" s="40">
        <v>0</v>
      </c>
    </row>
    <row r="95" spans="1:4" ht="11.25" customHeight="1">
      <c r="A95" s="31" t="s">
        <v>403</v>
      </c>
      <c r="B95" s="40">
        <v>50</v>
      </c>
      <c r="C95" s="40">
        <v>50</v>
      </c>
      <c r="D95" s="40">
        <v>50</v>
      </c>
    </row>
    <row r="96" spans="1:4" ht="11.25" customHeight="1">
      <c r="A96" s="6"/>
      <c r="B96" s="6"/>
      <c r="C96" s="6"/>
      <c r="D96" s="6"/>
    </row>
    <row r="97" spans="1:4" ht="11.25" customHeight="1">
      <c r="A97" s="6"/>
      <c r="B97" s="6"/>
      <c r="C97" s="6"/>
      <c r="D97" s="6"/>
    </row>
    <row r="98" spans="1:4" ht="11.25" customHeight="1">
      <c r="A98" s="6"/>
      <c r="B98" s="6"/>
      <c r="C98" s="6"/>
      <c r="D98" s="6"/>
    </row>
    <row r="99" spans="1:4" ht="11.25" customHeight="1">
      <c r="A99" s="6"/>
      <c r="B99" s="6"/>
      <c r="C99" s="6"/>
      <c r="D99" s="6"/>
    </row>
    <row r="100" spans="1:4" ht="11.25" customHeight="1">
      <c r="A100" s="6"/>
      <c r="B100" s="6"/>
      <c r="C100" s="6"/>
      <c r="D100" s="6"/>
    </row>
    <row r="101" spans="1:4" ht="11.25" customHeight="1">
      <c r="A101" s="6"/>
      <c r="B101" s="6"/>
      <c r="C101" s="6"/>
      <c r="D101" s="6"/>
    </row>
    <row r="102" spans="1:4" ht="11.25" customHeight="1">
      <c r="A102" s="6"/>
      <c r="B102" s="6"/>
      <c r="C102" s="6"/>
      <c r="D102" s="6"/>
    </row>
    <row r="103" spans="1:4" ht="11.25" customHeight="1">
      <c r="A103" s="6"/>
      <c r="B103" s="6"/>
      <c r="C103" s="6"/>
      <c r="D103" s="6"/>
    </row>
    <row r="104" spans="1:4" ht="11.25" customHeight="1">
      <c r="A104" s="6"/>
      <c r="B104" s="6"/>
      <c r="C104" s="6"/>
      <c r="D104" s="6"/>
    </row>
    <row r="105" spans="1:4" ht="11.25" customHeight="1">
      <c r="A105" s="6"/>
      <c r="B105" s="6"/>
      <c r="C105" s="6"/>
      <c r="D105" s="6"/>
    </row>
    <row r="106" spans="1:4" ht="11.25" customHeight="1">
      <c r="A106" s="6"/>
      <c r="B106" s="6"/>
      <c r="C106" s="6"/>
      <c r="D106" s="6"/>
    </row>
    <row r="107" spans="1:4" ht="11.25" customHeight="1">
      <c r="B107" s="21"/>
      <c r="C107" s="21"/>
      <c r="D107" s="12"/>
    </row>
    <row r="108" spans="1:4" ht="11.25" customHeight="1">
      <c r="B108" s="21"/>
      <c r="C108" s="21"/>
      <c r="D108" s="12"/>
    </row>
    <row r="109" spans="1:4" ht="11.25" customHeight="1">
      <c r="B109" s="21"/>
      <c r="C109" s="21"/>
      <c r="D109" s="21"/>
    </row>
    <row r="110" spans="1:4" ht="11.25" customHeight="1"/>
    <row r="111" spans="1:4">
      <c r="B111" s="41"/>
      <c r="C111" s="41"/>
      <c r="D111" s="41"/>
    </row>
    <row r="112" spans="1:4">
      <c r="B112" s="41"/>
      <c r="C112" s="41"/>
      <c r="D112" s="41"/>
    </row>
    <row r="113" spans="2:4">
      <c r="B113" s="41"/>
      <c r="C113" s="41"/>
      <c r="D113" s="41"/>
    </row>
    <row r="114" spans="2:4">
      <c r="B114" s="41"/>
      <c r="C114" s="42"/>
      <c r="D114" s="42"/>
    </row>
    <row r="115" spans="2:4">
      <c r="B115" s="41"/>
      <c r="C115" s="42"/>
      <c r="D115" s="42"/>
    </row>
    <row r="116" spans="2:4">
      <c r="C116" s="21"/>
      <c r="D116" s="21"/>
    </row>
    <row r="117" spans="2:4">
      <c r="C117" s="21"/>
      <c r="D117" s="21"/>
    </row>
  </sheetData>
  <printOptions headings="1" gridLinesSet="0"/>
  <pageMargins left="0.94488188976377963" right="0.31496062992125984" top="0.62992125984251968" bottom="0.59055118110236227" header="0.51181102362204722" footer="0.51181102362204722"/>
  <pageSetup paperSize="9" scale="99" orientation="portrait" horizontalDpi="4294967292" verticalDpi="4294967292" r:id="rId1"/>
  <headerFooter alignWithMargins="0"/>
  <rowBreaks count="2" manualBreakCount="2">
    <brk id="27" max="7" man="1"/>
    <brk id="7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47"/>
  <sheetViews>
    <sheetView showGridLines="0" tabSelected="1" view="pageBreakPreview" topLeftCell="A58" zoomScaleNormal="100" zoomScaleSheetLayoutView="100" workbookViewId="0">
      <selection activeCell="K4" sqref="K4"/>
    </sheetView>
  </sheetViews>
  <sheetFormatPr defaultColWidth="11.3984375" defaultRowHeight="13.5" customHeight="1"/>
  <cols>
    <col min="1" max="1" width="26.09765625" style="88" customWidth="1"/>
    <col min="2" max="4" width="11.3984375" style="108" customWidth="1"/>
    <col min="5" max="5" width="4.09765625" style="110" customWidth="1"/>
    <col min="6" max="6" width="11.3984375" style="110" customWidth="1"/>
    <col min="7" max="7" width="4.8984375" style="110" customWidth="1"/>
    <col min="8" max="8" width="9.19921875" style="110" customWidth="1"/>
    <col min="9" max="9" width="9.59765625" style="110" customWidth="1"/>
    <col min="10" max="10" width="11.3984375" style="110"/>
    <col min="11" max="11" width="12.19921875" style="110" bestFit="1" customWidth="1"/>
    <col min="12" max="16384" width="11.3984375" style="110"/>
  </cols>
  <sheetData>
    <row r="1" spans="1:29" ht="18.75" customHeight="1">
      <c r="A1" s="3" t="s">
        <v>300</v>
      </c>
      <c r="C1" s="109"/>
      <c r="D1" s="109"/>
      <c r="H1" s="170" t="s">
        <v>357</v>
      </c>
      <c r="I1" s="170" t="s">
        <v>357</v>
      </c>
      <c r="K1" s="111"/>
    </row>
    <row r="2" spans="1:29" ht="16.5" customHeight="1" thickBot="1">
      <c r="A2" s="187" t="s">
        <v>360</v>
      </c>
      <c r="B2" s="173">
        <v>2008</v>
      </c>
      <c r="C2" s="173">
        <f>B2+1</f>
        <v>2009</v>
      </c>
      <c r="D2" s="173">
        <f>C2+1</f>
        <v>2010</v>
      </c>
      <c r="H2" s="171">
        <f>D2+1</f>
        <v>2011</v>
      </c>
      <c r="I2" s="171">
        <f>H2+1</f>
        <v>2012</v>
      </c>
      <c r="J2" s="158"/>
      <c r="K2" s="111"/>
    </row>
    <row r="3" spans="1:29" ht="13.5" customHeight="1">
      <c r="A3" s="188" t="s">
        <v>62</v>
      </c>
      <c r="B3" s="112">
        <v>87000</v>
      </c>
      <c r="C3" s="112">
        <v>84016</v>
      </c>
      <c r="D3" s="112">
        <v>74233</v>
      </c>
      <c r="F3" s="1"/>
      <c r="G3" s="1"/>
      <c r="H3" s="185">
        <f>D3*(1+H19)</f>
        <v>77944.650000000009</v>
      </c>
      <c r="I3" s="185">
        <f>H3*(1+I19)</f>
        <v>81841.882500000007</v>
      </c>
      <c r="K3" s="62"/>
      <c r="L3" s="114"/>
      <c r="M3" s="114"/>
    </row>
    <row r="4" spans="1:29" s="115" customFormat="1" ht="13.5" customHeight="1">
      <c r="A4" s="189" t="s">
        <v>57</v>
      </c>
      <c r="B4" s="113">
        <v>63895</v>
      </c>
      <c r="C4" s="113">
        <v>60810</v>
      </c>
      <c r="D4" s="113">
        <v>53350</v>
      </c>
      <c r="E4" s="114"/>
      <c r="F4" s="1"/>
      <c r="G4" s="1"/>
      <c r="H4" s="186">
        <f>H3-H5</f>
        <v>55730.424750000006</v>
      </c>
      <c r="I4" s="186">
        <f>I3-I5</f>
        <v>58516.945987500003</v>
      </c>
      <c r="J4" s="114"/>
      <c r="K4" s="6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114" customFormat="1" ht="13.5" customHeight="1">
      <c r="A5" s="149" t="s">
        <v>303</v>
      </c>
      <c r="B5" s="112">
        <f>B3-B4</f>
        <v>23105</v>
      </c>
      <c r="C5" s="152">
        <f>C3-C4</f>
        <v>23206</v>
      </c>
      <c r="D5" s="112">
        <f>D3-D4</f>
        <v>20883</v>
      </c>
      <c r="F5" s="1"/>
      <c r="G5" s="1"/>
      <c r="H5" s="185">
        <f>H3*H20</f>
        <v>22214.22525</v>
      </c>
      <c r="I5" s="185">
        <f>I3*I20</f>
        <v>23324.9365125</v>
      </c>
      <c r="K5" s="62"/>
    </row>
    <row r="6" spans="1:29" ht="13.5" customHeight="1">
      <c r="A6" s="190" t="s">
        <v>304</v>
      </c>
      <c r="B6" s="116">
        <f>16640-6264</f>
        <v>10376</v>
      </c>
      <c r="C6" s="128">
        <f>15455-4126</f>
        <v>11329</v>
      </c>
      <c r="D6" s="116">
        <f>13534-3334</f>
        <v>10200</v>
      </c>
      <c r="E6" s="114"/>
      <c r="F6" s="1"/>
      <c r="G6" s="1"/>
      <c r="H6" s="185"/>
      <c r="I6" s="185"/>
      <c r="K6" s="46"/>
      <c r="L6" s="114"/>
      <c r="M6" s="114"/>
      <c r="N6" s="114"/>
      <c r="O6" s="114"/>
      <c r="P6" s="114"/>
    </row>
    <row r="7" spans="1:29" ht="13.5" customHeight="1">
      <c r="A7" s="147" t="s">
        <v>305</v>
      </c>
      <c r="B7" s="116">
        <v>6782</v>
      </c>
      <c r="C7" s="128">
        <v>5819</v>
      </c>
      <c r="D7" s="116">
        <f>5067</f>
        <v>5067</v>
      </c>
      <c r="F7" s="1"/>
      <c r="G7" s="1"/>
      <c r="H7" s="185"/>
      <c r="I7" s="185"/>
      <c r="K7" s="46"/>
      <c r="L7" s="114"/>
      <c r="M7" s="114"/>
      <c r="N7" s="114"/>
      <c r="O7" s="114"/>
      <c r="P7" s="114"/>
    </row>
    <row r="8" spans="1:29" ht="13.5" customHeight="1">
      <c r="A8" s="154" t="s">
        <v>181</v>
      </c>
      <c r="B8" s="113">
        <f>B6+B7</f>
        <v>17158</v>
      </c>
      <c r="C8" s="153">
        <f>C6+C7</f>
        <v>17148</v>
      </c>
      <c r="D8" s="113">
        <f>D6+D7</f>
        <v>15267</v>
      </c>
      <c r="F8" s="114"/>
      <c r="G8" s="114"/>
      <c r="H8" s="186">
        <f>D8*(1+H22)</f>
        <v>15267</v>
      </c>
      <c r="I8" s="186">
        <f>H8*(1+I22)</f>
        <v>15572.34</v>
      </c>
      <c r="K8" s="46"/>
      <c r="L8" s="114"/>
      <c r="M8" s="114"/>
    </row>
    <row r="9" spans="1:29" ht="13.5" customHeight="1">
      <c r="A9" s="83" t="s">
        <v>29</v>
      </c>
      <c r="B9" s="116">
        <f>B5-B8</f>
        <v>5947</v>
      </c>
      <c r="C9" s="128">
        <f>C5-C8</f>
        <v>6058</v>
      </c>
      <c r="D9" s="116">
        <f>D5-D8</f>
        <v>5616</v>
      </c>
      <c r="F9" s="1"/>
      <c r="G9" s="1"/>
      <c r="H9" s="185">
        <f>H5-H8</f>
        <v>6947.2252499999995</v>
      </c>
      <c r="I9" s="185">
        <f>I5-I8</f>
        <v>7752.5965125000002</v>
      </c>
      <c r="K9" s="62"/>
      <c r="L9" s="114"/>
      <c r="M9" s="114"/>
    </row>
    <row r="10" spans="1:29" ht="13.5" customHeight="1">
      <c r="A10" s="191" t="s">
        <v>306</v>
      </c>
      <c r="B10" s="113">
        <v>6264</v>
      </c>
      <c r="C10" s="153">
        <v>4126</v>
      </c>
      <c r="D10" s="113">
        <v>3334</v>
      </c>
      <c r="F10" s="1"/>
      <c r="G10" s="1"/>
      <c r="H10" s="186">
        <f>D10</f>
        <v>3334</v>
      </c>
      <c r="I10" s="186">
        <f>H10</f>
        <v>3334</v>
      </c>
      <c r="K10" s="62"/>
      <c r="L10" s="114"/>
      <c r="M10" s="114"/>
    </row>
    <row r="11" spans="1:29" ht="13.5" customHeight="1">
      <c r="A11" s="83" t="s">
        <v>307</v>
      </c>
      <c r="B11" s="112">
        <f>B9-B10</f>
        <v>-317</v>
      </c>
      <c r="C11" s="112">
        <f>C9-C10</f>
        <v>1932</v>
      </c>
      <c r="D11" s="112">
        <f>D9-D10</f>
        <v>2282</v>
      </c>
      <c r="F11" s="1"/>
      <c r="G11" s="1"/>
      <c r="H11" s="185">
        <f>H9-H10</f>
        <v>3613.2252499999995</v>
      </c>
      <c r="I11" s="185">
        <f>I9-I10</f>
        <v>4418.5965125000002</v>
      </c>
      <c r="K11" s="62"/>
      <c r="L11" s="114"/>
      <c r="M11" s="114"/>
    </row>
    <row r="12" spans="1:29" ht="13.5" customHeight="1">
      <c r="A12" s="149" t="s">
        <v>308</v>
      </c>
      <c r="B12" s="113">
        <f>2762+49+173-32+43</f>
        <v>2995</v>
      </c>
      <c r="C12" s="113">
        <f>1321-114+18+94+224</f>
        <v>1543</v>
      </c>
      <c r="D12" s="113">
        <f>642+142+61+31+214</f>
        <v>1090</v>
      </c>
      <c r="F12" s="1"/>
      <c r="G12" s="1"/>
      <c r="H12" s="186">
        <v>1500</v>
      </c>
      <c r="I12" s="186">
        <v>1500</v>
      </c>
      <c r="K12" s="62"/>
      <c r="L12" s="114"/>
      <c r="M12" s="114"/>
    </row>
    <row r="13" spans="1:29" ht="13.5" customHeight="1">
      <c r="A13" s="156" t="s">
        <v>309</v>
      </c>
      <c r="B13" s="112">
        <f>B11+B12</f>
        <v>2678</v>
      </c>
      <c r="C13" s="152">
        <f>C11+C12</f>
        <v>3475</v>
      </c>
      <c r="D13" s="112">
        <f>D11+D12</f>
        <v>3372</v>
      </c>
      <c r="F13" s="1"/>
      <c r="G13" s="1"/>
      <c r="H13" s="131">
        <f>H11+H12</f>
        <v>5113.2252499999995</v>
      </c>
      <c r="I13" s="131">
        <f>I11+I12</f>
        <v>5918.5965125000002</v>
      </c>
      <c r="K13" s="62"/>
      <c r="L13" s="114"/>
      <c r="M13" s="114"/>
    </row>
    <row r="14" spans="1:29" ht="13.5" customHeight="1">
      <c r="A14" s="192" t="s">
        <v>63</v>
      </c>
      <c r="B14" s="116">
        <v>781</v>
      </c>
      <c r="C14" s="128">
        <v>849</v>
      </c>
      <c r="D14" s="116">
        <v>867</v>
      </c>
      <c r="F14" s="1"/>
      <c r="G14" s="1"/>
      <c r="H14" s="185">
        <f>0.25*H13</f>
        <v>1278.3063124999999</v>
      </c>
      <c r="I14" s="185">
        <f>0.25*I13</f>
        <v>1479.6491281250001</v>
      </c>
      <c r="K14" s="62"/>
      <c r="L14" s="114"/>
      <c r="M14" s="114"/>
    </row>
    <row r="15" spans="1:29" ht="13.5" customHeight="1">
      <c r="A15" s="193" t="s">
        <v>355</v>
      </c>
      <c r="B15" s="113">
        <v>191</v>
      </c>
      <c r="C15" s="153">
        <v>-29</v>
      </c>
      <c r="D15" s="113">
        <v>-60</v>
      </c>
      <c r="F15" s="1"/>
      <c r="G15" s="1"/>
      <c r="H15" s="186"/>
      <c r="I15" s="186"/>
      <c r="K15" s="62"/>
      <c r="L15" s="114"/>
      <c r="M15" s="114"/>
    </row>
    <row r="16" spans="1:29" ht="13.5" customHeight="1">
      <c r="A16" s="189" t="s">
        <v>356</v>
      </c>
      <c r="B16" s="113">
        <f>B13-B14+B15</f>
        <v>2088</v>
      </c>
      <c r="C16" s="113">
        <f>C13-C14+C15</f>
        <v>2597</v>
      </c>
      <c r="D16" s="113">
        <f>D13-D14+D15</f>
        <v>2445</v>
      </c>
      <c r="F16" s="1"/>
      <c r="G16" s="1"/>
      <c r="H16" s="185">
        <f>H13-H14</f>
        <v>3834.9189374999996</v>
      </c>
      <c r="I16" s="185">
        <f>I13-I14</f>
        <v>4438.9473843750002</v>
      </c>
      <c r="K16" s="62"/>
      <c r="L16" s="114"/>
      <c r="M16" s="114"/>
    </row>
    <row r="17" spans="1:13" ht="13.5" customHeight="1">
      <c r="B17" s="141"/>
      <c r="C17" s="141"/>
      <c r="D17" s="141"/>
      <c r="K17" s="29"/>
    </row>
    <row r="18" spans="1:13" ht="13.5" customHeight="1" thickBot="1">
      <c r="A18" s="89" t="s">
        <v>311</v>
      </c>
      <c r="B18" s="157"/>
      <c r="C18" s="118"/>
      <c r="D18" s="119"/>
      <c r="E18" s="98"/>
      <c r="H18" s="226"/>
      <c r="I18" s="227" t="s">
        <v>358</v>
      </c>
      <c r="K18" s="150"/>
      <c r="L18" s="114"/>
      <c r="M18" s="114"/>
    </row>
    <row r="19" spans="1:13" ht="13.5" customHeight="1">
      <c r="A19" s="90" t="s">
        <v>64</v>
      </c>
      <c r="B19" s="119" t="s">
        <v>147</v>
      </c>
      <c r="C19" s="119">
        <f>C3/B3-1</f>
        <v>-3.4298850574712603E-2</v>
      </c>
      <c r="D19" s="119">
        <f>D3/C3-1</f>
        <v>-0.11644210626547324</v>
      </c>
      <c r="E19" s="98"/>
      <c r="F19" s="98"/>
      <c r="G19" s="98"/>
      <c r="H19" s="228">
        <v>0.05</v>
      </c>
      <c r="I19" s="228">
        <v>0.05</v>
      </c>
      <c r="K19" s="66"/>
      <c r="L19" s="114"/>
      <c r="M19" s="114"/>
    </row>
    <row r="20" spans="1:13" ht="13.5" customHeight="1">
      <c r="A20" s="90" t="s">
        <v>312</v>
      </c>
      <c r="B20" s="165">
        <f>B5/B3</f>
        <v>0.26557471264367816</v>
      </c>
      <c r="C20" s="165">
        <f>C5/C3</f>
        <v>0.2762092934679109</v>
      </c>
      <c r="D20" s="165">
        <f>D5/D3</f>
        <v>0.2813169345169938</v>
      </c>
      <c r="E20" s="98"/>
      <c r="F20" s="98"/>
      <c r="G20" s="98"/>
      <c r="H20" s="229">
        <v>0.28499999999999998</v>
      </c>
      <c r="I20" s="229">
        <v>0.28499999999999998</v>
      </c>
      <c r="K20" s="66"/>
      <c r="L20" s="114"/>
      <c r="M20" s="114"/>
    </row>
    <row r="21" spans="1:13" ht="13.5" customHeight="1">
      <c r="A21" s="17" t="s">
        <v>313</v>
      </c>
      <c r="B21" s="166">
        <f>B8/B3</f>
        <v>0.19721839080459769</v>
      </c>
      <c r="C21" s="166">
        <f>C8/C3</f>
        <v>0.20410398019424872</v>
      </c>
      <c r="D21" s="166">
        <f>D8/D3</f>
        <v>0.20566324949820161</v>
      </c>
      <c r="E21" s="98"/>
      <c r="F21" s="98"/>
      <c r="G21" s="98"/>
      <c r="H21" s="120">
        <f>H8/H3</f>
        <v>0.19586976142685866</v>
      </c>
      <c r="I21" s="120">
        <f>I8/I3</f>
        <v>0.19027348252894841</v>
      </c>
      <c r="K21" s="66"/>
      <c r="L21" s="114"/>
      <c r="M21" s="114"/>
    </row>
    <row r="22" spans="1:13" ht="13.5" customHeight="1">
      <c r="A22" s="56" t="s">
        <v>166</v>
      </c>
      <c r="B22" s="119" t="s">
        <v>147</v>
      </c>
      <c r="C22" s="120">
        <f>C8/B8-1</f>
        <v>-5.8281851031594112E-4</v>
      </c>
      <c r="D22" s="120">
        <f>D8/C8-1</f>
        <v>-0.10969209237228827</v>
      </c>
      <c r="E22" s="98"/>
      <c r="F22" s="98"/>
      <c r="G22" s="98"/>
      <c r="H22" s="228">
        <v>0</v>
      </c>
      <c r="I22" s="228">
        <v>0.02</v>
      </c>
      <c r="K22" s="66"/>
      <c r="L22" s="114"/>
      <c r="M22" s="114"/>
    </row>
    <row r="23" spans="1:13" ht="13.5" customHeight="1">
      <c r="A23" s="90" t="s">
        <v>314</v>
      </c>
      <c r="B23" s="165">
        <f>B9/B3</f>
        <v>6.8356321839080456E-2</v>
      </c>
      <c r="C23" s="165">
        <f>C9/C3</f>
        <v>7.2105313273662153E-2</v>
      </c>
      <c r="D23" s="165">
        <f>D9/D3</f>
        <v>7.5653685018792174E-2</v>
      </c>
      <c r="E23" s="98"/>
      <c r="F23" s="98"/>
      <c r="G23" s="98"/>
      <c r="H23" s="165">
        <f>H9/H3</f>
        <v>8.9130238573141313E-2</v>
      </c>
      <c r="I23" s="165">
        <f>I9/I3</f>
        <v>9.4726517471051569E-2</v>
      </c>
      <c r="K23" s="114"/>
      <c r="L23" s="114"/>
      <c r="M23" s="114"/>
    </row>
    <row r="24" spans="1:13" ht="13.5" customHeight="1">
      <c r="A24" s="91" t="s">
        <v>316</v>
      </c>
      <c r="B24" s="121">
        <f>B16/B3</f>
        <v>2.4E-2</v>
      </c>
      <c r="C24" s="121">
        <f>C16/C3</f>
        <v>3.0910778899257283E-2</v>
      </c>
      <c r="D24" s="121">
        <f>D16/D3</f>
        <v>3.29368340226045E-2</v>
      </c>
      <c r="E24" s="98"/>
      <c r="F24" s="98"/>
      <c r="G24" s="98"/>
      <c r="H24" s="165">
        <f>H16/H3</f>
        <v>4.9200540864575044E-2</v>
      </c>
      <c r="I24" s="165">
        <f>I16/I3</f>
        <v>5.4238089945878261E-2</v>
      </c>
      <c r="K24" s="114"/>
      <c r="L24" s="114"/>
      <c r="M24" s="114"/>
    </row>
    <row r="25" spans="1:13" ht="13.5" customHeight="1">
      <c r="A25" s="90" t="s">
        <v>315</v>
      </c>
      <c r="B25" s="166">
        <f>B16/B44</f>
        <v>8.110627719080174E-2</v>
      </c>
      <c r="C25" s="166">
        <f>C16/C44</f>
        <v>0.12098765432098765</v>
      </c>
      <c r="D25" s="166">
        <f>D16/D44</f>
        <v>0.11162344777209642</v>
      </c>
      <c r="E25" s="98"/>
      <c r="F25" s="98"/>
      <c r="G25" s="98"/>
      <c r="H25" s="120">
        <f>H16/D58</f>
        <v>0.15749800556491025</v>
      </c>
      <c r="I25" s="120">
        <f>I16/H58</f>
        <v>0.16635290321380666</v>
      </c>
      <c r="K25" s="66"/>
      <c r="L25" s="114"/>
      <c r="M25" s="114"/>
    </row>
    <row r="26" spans="1:13" ht="13.5" customHeight="1">
      <c r="A26" s="90" t="s">
        <v>317</v>
      </c>
      <c r="B26" s="120">
        <f>B11/B55</f>
        <v>-4.0348242242191279E-3</v>
      </c>
      <c r="C26" s="120">
        <f>C11/C55</f>
        <v>2.8151364583485116E-2</v>
      </c>
      <c r="D26" s="120">
        <f>D11/D55</f>
        <v>3.3396262311396002E-2</v>
      </c>
      <c r="E26" s="98"/>
      <c r="F26" s="98"/>
      <c r="G26" s="98"/>
      <c r="H26" s="120">
        <f>H11/H55</f>
        <v>5.4415090247855215E-2</v>
      </c>
      <c r="I26" s="120">
        <f>I11/I55</f>
        <v>6.5581679378436258E-2</v>
      </c>
      <c r="K26" s="151"/>
      <c r="L26" s="114"/>
      <c r="M26" s="114"/>
    </row>
    <row r="27" spans="1:13" ht="13.5" customHeight="1">
      <c r="A27" s="90" t="s">
        <v>318</v>
      </c>
      <c r="B27" s="122">
        <f>B16+B10</f>
        <v>8352</v>
      </c>
      <c r="C27" s="122">
        <f>C16+C10</f>
        <v>6723</v>
      </c>
      <c r="D27" s="122">
        <f>D16+D10</f>
        <v>5779</v>
      </c>
      <c r="E27" s="98"/>
      <c r="F27" s="98"/>
      <c r="G27" s="98"/>
      <c r="H27" s="134">
        <f>H16+H10</f>
        <v>7168.9189374999996</v>
      </c>
      <c r="I27" s="134">
        <f>I16+I10</f>
        <v>7772.9473843750002</v>
      </c>
      <c r="K27" s="66"/>
      <c r="L27" s="114"/>
      <c r="M27" s="114"/>
    </row>
    <row r="28" spans="1:13" ht="13.5" customHeight="1">
      <c r="A28" s="90"/>
      <c r="B28" s="123"/>
      <c r="C28" s="123"/>
      <c r="D28" s="123"/>
      <c r="E28" s="98"/>
      <c r="F28" s="98"/>
      <c r="G28" s="98"/>
      <c r="H28" s="168"/>
      <c r="I28" s="168"/>
      <c r="K28" s="66"/>
      <c r="L28" s="114"/>
      <c r="M28" s="114"/>
    </row>
    <row r="29" spans="1:13" ht="13.5" customHeight="1">
      <c r="B29" s="124"/>
      <c r="C29" s="124"/>
      <c r="D29" s="124"/>
    </row>
    <row r="30" spans="1:13" ht="17.25" customHeight="1" thickBot="1">
      <c r="A30" s="3" t="s">
        <v>359</v>
      </c>
      <c r="B30" s="174">
        <f>B2</f>
        <v>2008</v>
      </c>
      <c r="C30" s="174">
        <f>C2</f>
        <v>2009</v>
      </c>
      <c r="D30" s="210">
        <f>D2</f>
        <v>2010</v>
      </c>
      <c r="E30" s="211"/>
      <c r="F30" s="208" t="s">
        <v>361</v>
      </c>
      <c r="G30" s="169"/>
    </row>
    <row r="31" spans="1:13" ht="13.5" customHeight="1">
      <c r="A31" s="81" t="s">
        <v>66</v>
      </c>
      <c r="B31" s="112">
        <f>7802+791</f>
        <v>8593</v>
      </c>
      <c r="C31" s="112">
        <f>11196+399</f>
        <v>11595</v>
      </c>
      <c r="D31" s="112">
        <f>12149+650</f>
        <v>12799</v>
      </c>
      <c r="F31" s="159">
        <f>D31-B31</f>
        <v>4206</v>
      </c>
      <c r="G31" s="159"/>
    </row>
    <row r="32" spans="1:13" ht="13.5" customHeight="1">
      <c r="A32" s="87" t="s">
        <v>320</v>
      </c>
      <c r="B32" s="116">
        <f>17734+1113+10167</f>
        <v>29014</v>
      </c>
      <c r="C32" s="116">
        <f>15230+1212+5353</f>
        <v>21795</v>
      </c>
      <c r="D32" s="116">
        <v>20324</v>
      </c>
      <c r="F32" s="159">
        <f>D32-B32</f>
        <v>-8690</v>
      </c>
      <c r="G32" s="159"/>
      <c r="K32" s="110">
        <v>20324</v>
      </c>
    </row>
    <row r="33" spans="1:11" ht="13.5" customHeight="1">
      <c r="A33" s="87" t="s">
        <v>67</v>
      </c>
      <c r="B33" s="116">
        <v>13406</v>
      </c>
      <c r="C33" s="116">
        <v>10672</v>
      </c>
      <c r="D33" s="116">
        <v>10366</v>
      </c>
      <c r="F33" s="159">
        <f>D33-B33</f>
        <v>-3040</v>
      </c>
      <c r="G33" s="159"/>
      <c r="K33" s="110">
        <v>10366</v>
      </c>
    </row>
    <row r="34" spans="1:11" ht="13.5" customHeight="1">
      <c r="A34" s="81" t="s">
        <v>321</v>
      </c>
      <c r="B34" s="112">
        <f>SUM(B31:B33)</f>
        <v>51013</v>
      </c>
      <c r="C34" s="112">
        <f>SUM(C31:C33)</f>
        <v>44062</v>
      </c>
      <c r="D34" s="112">
        <f>SUM(D31:D33)</f>
        <v>43489</v>
      </c>
      <c r="F34" s="159"/>
      <c r="G34" s="159"/>
    </row>
    <row r="35" spans="1:11" ht="13.5" customHeight="1">
      <c r="A35" s="82" t="s">
        <v>322</v>
      </c>
      <c r="B35" s="113">
        <f>90118-51013</f>
        <v>39105</v>
      </c>
      <c r="C35" s="113">
        <f>77939-44062</f>
        <v>33877</v>
      </c>
      <c r="D35" s="113">
        <f>77605-43489</f>
        <v>34116</v>
      </c>
      <c r="F35" s="159">
        <f>D35-B35</f>
        <v>-4989</v>
      </c>
      <c r="G35" s="159"/>
    </row>
    <row r="36" spans="1:11" ht="13.5" customHeight="1">
      <c r="A36" s="82" t="s">
        <v>323</v>
      </c>
      <c r="B36" s="126">
        <f>B34+B35</f>
        <v>90118</v>
      </c>
      <c r="C36" s="126">
        <f>C34+C35</f>
        <v>77939</v>
      </c>
      <c r="D36" s="126">
        <f>D34+D35</f>
        <v>77605</v>
      </c>
      <c r="F36" s="159"/>
      <c r="G36" s="159"/>
    </row>
    <row r="37" spans="1:11" ht="13.5" customHeight="1">
      <c r="B37" s="108" t="s">
        <v>4</v>
      </c>
      <c r="F37" s="160"/>
      <c r="G37" s="160"/>
    </row>
    <row r="38" spans="1:11" ht="13.5" customHeight="1">
      <c r="A38" s="3" t="s">
        <v>326</v>
      </c>
      <c r="B38" s="3"/>
      <c r="D38" s="127"/>
      <c r="F38" s="160"/>
      <c r="G38" s="160"/>
    </row>
    <row r="39" spans="1:11" ht="13.5" customHeight="1">
      <c r="A39" s="81" t="s">
        <v>68</v>
      </c>
      <c r="B39" s="112">
        <v>10798</v>
      </c>
      <c r="C39" s="112">
        <v>8649</v>
      </c>
      <c r="D39" s="112">
        <v>8404</v>
      </c>
      <c r="F39" s="159">
        <f>D39-B39</f>
        <v>-2394</v>
      </c>
      <c r="G39" s="159"/>
      <c r="K39" s="110">
        <v>8404</v>
      </c>
    </row>
    <row r="40" spans="1:11" ht="13.5" customHeight="1">
      <c r="A40" s="106" t="s">
        <v>327</v>
      </c>
      <c r="B40" s="116">
        <v>754</v>
      </c>
      <c r="C40" s="116">
        <v>661</v>
      </c>
      <c r="D40" s="116">
        <v>870</v>
      </c>
      <c r="F40" s="159">
        <f>D40-B40</f>
        <v>116</v>
      </c>
      <c r="G40" s="159"/>
    </row>
    <row r="41" spans="1:11" ht="13.5" customHeight="1">
      <c r="A41" s="82" t="s">
        <v>69</v>
      </c>
      <c r="B41" s="116">
        <f>2637+10864+19471</f>
        <v>32972</v>
      </c>
      <c r="C41" s="116">
        <f>2103+9608+13691</f>
        <v>25402</v>
      </c>
      <c r="D41" s="116">
        <f>1745+8884+12125</f>
        <v>22754</v>
      </c>
      <c r="F41" s="159">
        <f>D41-B41</f>
        <v>-10218</v>
      </c>
      <c r="G41" s="159"/>
    </row>
    <row r="42" spans="1:11" ht="13.5" customHeight="1">
      <c r="A42" s="81" t="s">
        <v>328</v>
      </c>
      <c r="B42" s="112">
        <f>B39+B40+B41</f>
        <v>44524</v>
      </c>
      <c r="C42" s="112">
        <f>C39+C40+C41</f>
        <v>34712</v>
      </c>
      <c r="D42" s="112">
        <f>D39+D40+D41</f>
        <v>32028</v>
      </c>
      <c r="F42" s="159"/>
      <c r="G42" s="159"/>
    </row>
    <row r="43" spans="1:11" ht="13.5" customHeight="1">
      <c r="A43" s="87" t="s">
        <v>329</v>
      </c>
      <c r="B43" s="116">
        <f>9973+4721+111+2957</f>
        <v>17762</v>
      </c>
      <c r="C43" s="116">
        <f>10243+5326+195+3401</f>
        <v>19165</v>
      </c>
      <c r="D43" s="116">
        <f>11433+5843+534+3418</f>
        <v>21228</v>
      </c>
      <c r="F43" s="159">
        <f>D43-B43</f>
        <v>3466</v>
      </c>
      <c r="G43" s="159"/>
    </row>
    <row r="44" spans="1:11" ht="13.5" customHeight="1">
      <c r="A44" s="87" t="s">
        <v>330</v>
      </c>
      <c r="B44" s="116">
        <f>23812+4020-2088</f>
        <v>25744</v>
      </c>
      <c r="C44" s="116">
        <f>23521+541-2597</f>
        <v>21465</v>
      </c>
      <c r="D44" s="116">
        <f>23715-2445+634</f>
        <v>21904</v>
      </c>
      <c r="F44" s="159">
        <f>D44-B44</f>
        <v>-3840</v>
      </c>
      <c r="G44" s="159"/>
    </row>
    <row r="45" spans="1:11" ht="13.5" customHeight="1">
      <c r="A45" s="82" t="s">
        <v>70</v>
      </c>
      <c r="B45" s="113">
        <f>B16</f>
        <v>2088</v>
      </c>
      <c r="C45" s="113">
        <f>C16</f>
        <v>2597</v>
      </c>
      <c r="D45" s="113">
        <f>D16</f>
        <v>2445</v>
      </c>
      <c r="F45" s="159">
        <f>D45-B45</f>
        <v>357</v>
      </c>
      <c r="G45" s="159"/>
    </row>
    <row r="46" spans="1:11" ht="13.5" customHeight="1">
      <c r="A46" s="93" t="s">
        <v>124</v>
      </c>
      <c r="B46" s="126">
        <f>B42+B43+B44+B45</f>
        <v>90118</v>
      </c>
      <c r="C46" s="126">
        <f>C42+C43+C44+C45</f>
        <v>77939</v>
      </c>
      <c r="D46" s="126">
        <f>D42+D43+D44+D45</f>
        <v>77605</v>
      </c>
    </row>
    <row r="47" spans="1:11" ht="13.5" customHeight="1">
      <c r="A47" s="94"/>
      <c r="B47" s="128"/>
      <c r="C47" s="128"/>
      <c r="D47" s="128"/>
    </row>
    <row r="48" spans="1:11" ht="13.5" customHeight="1">
      <c r="A48" s="88" t="s">
        <v>59</v>
      </c>
      <c r="B48" s="129">
        <f>B4</f>
        <v>63895</v>
      </c>
      <c r="C48" s="129">
        <f>C4+(C33-B33)</f>
        <v>58076</v>
      </c>
      <c r="D48" s="129">
        <f>D4+(D33-C33)</f>
        <v>53044</v>
      </c>
      <c r="F48" t="s">
        <v>335</v>
      </c>
      <c r="G48" s="6"/>
      <c r="H48" s="6"/>
    </row>
    <row r="49" spans="1:9" ht="13.5" customHeight="1">
      <c r="A49" s="88" t="s">
        <v>334</v>
      </c>
      <c r="B49" s="129"/>
      <c r="C49" s="129">
        <f>C35-B35+C10</f>
        <v>-1102</v>
      </c>
      <c r="D49" s="129">
        <f>D35-C35+D10</f>
        <v>3573</v>
      </c>
      <c r="F49" t="s">
        <v>336</v>
      </c>
      <c r="G49" s="6"/>
      <c r="H49" s="6"/>
    </row>
    <row r="50" spans="1:9" ht="13.5" customHeight="1">
      <c r="A50" s="95"/>
      <c r="B50" s="129"/>
      <c r="C50" s="129"/>
      <c r="D50" s="129"/>
      <c r="F50" s="130"/>
      <c r="G50" s="130"/>
      <c r="H50" s="170" t="s">
        <v>357</v>
      </c>
      <c r="I50" s="170" t="s">
        <v>357</v>
      </c>
    </row>
    <row r="51" spans="1:9" ht="18.75" customHeight="1" thickBot="1">
      <c r="A51" s="96" t="s">
        <v>337</v>
      </c>
      <c r="B51" s="177">
        <f t="shared" ref="B51:D52" si="0">B30</f>
        <v>2008</v>
      </c>
      <c r="C51" s="177">
        <f t="shared" si="0"/>
        <v>2009</v>
      </c>
      <c r="D51" s="177">
        <f t="shared" si="0"/>
        <v>2010</v>
      </c>
      <c r="E51" s="212"/>
      <c r="F51" s="232" t="s">
        <v>361</v>
      </c>
      <c r="G51" s="169"/>
      <c r="H51" s="183">
        <f>D30+1</f>
        <v>2011</v>
      </c>
      <c r="I51" s="183">
        <f>H51+1</f>
        <v>2012</v>
      </c>
    </row>
    <row r="52" spans="1:9" ht="13.5" customHeight="1">
      <c r="A52" s="90" t="s">
        <v>362</v>
      </c>
      <c r="B52" s="131">
        <f t="shared" si="0"/>
        <v>8593</v>
      </c>
      <c r="C52" s="131">
        <f t="shared" si="0"/>
        <v>11595</v>
      </c>
      <c r="D52" s="131">
        <f t="shared" si="0"/>
        <v>12799</v>
      </c>
      <c r="E52" s="98"/>
      <c r="F52" s="159">
        <f>D52-B52</f>
        <v>4206</v>
      </c>
      <c r="G52" s="159"/>
      <c r="H52" s="159">
        <f>D52</f>
        <v>12799</v>
      </c>
      <c r="I52" s="159">
        <f>H52</f>
        <v>12799</v>
      </c>
    </row>
    <row r="53" spans="1:9" ht="13.5" customHeight="1">
      <c r="A53" s="97" t="s">
        <v>338</v>
      </c>
      <c r="B53" s="131">
        <f>B32+B33-B39-B40</f>
        <v>30868</v>
      </c>
      <c r="C53" s="131">
        <f>C32+C33-C39-C40</f>
        <v>23157</v>
      </c>
      <c r="D53" s="131">
        <f>D32+D33-D39-D40</f>
        <v>21416</v>
      </c>
      <c r="E53" s="98"/>
      <c r="F53" s="159">
        <f>D53-B53</f>
        <v>-9452</v>
      </c>
      <c r="G53" s="159"/>
      <c r="H53" s="159">
        <f>H72*H3</f>
        <v>19486.162500000002</v>
      </c>
      <c r="I53" s="159">
        <f>I72*I3</f>
        <v>20460.470625000002</v>
      </c>
    </row>
    <row r="54" spans="1:9" ht="13.5" customHeight="1">
      <c r="A54" s="97" t="s">
        <v>339</v>
      </c>
      <c r="B54" s="132">
        <f>B35</f>
        <v>39105</v>
      </c>
      <c r="C54" s="132">
        <f>C35</f>
        <v>33877</v>
      </c>
      <c r="D54" s="132">
        <f>D35</f>
        <v>34116</v>
      </c>
      <c r="E54" s="98"/>
      <c r="F54" s="159">
        <f>D54-B54</f>
        <v>-4989</v>
      </c>
      <c r="G54" s="159"/>
      <c r="H54" s="181">
        <f>D54</f>
        <v>34116</v>
      </c>
      <c r="I54" s="181">
        <f>H54</f>
        <v>34116</v>
      </c>
    </row>
    <row r="55" spans="1:9" ht="13.5" customHeight="1">
      <c r="A55" s="97" t="s">
        <v>340</v>
      </c>
      <c r="B55" s="131">
        <f>B52+B53+B54</f>
        <v>78566</v>
      </c>
      <c r="C55" s="131">
        <f>C52+C53+C54</f>
        <v>68629</v>
      </c>
      <c r="D55" s="131">
        <f>D52+D53+D54</f>
        <v>68331</v>
      </c>
      <c r="E55" s="98"/>
      <c r="F55" s="159"/>
      <c r="G55" s="159"/>
      <c r="H55" s="180">
        <f>H52+H53+H54</f>
        <v>66401.162500000006</v>
      </c>
      <c r="I55" s="180">
        <f>I52+I53+I54</f>
        <v>67375.470625000002</v>
      </c>
    </row>
    <row r="56" spans="1:9" ht="13.5" customHeight="1">
      <c r="A56" s="97"/>
      <c r="B56" s="131"/>
      <c r="C56" s="131"/>
      <c r="D56" s="131"/>
      <c r="E56" s="98"/>
      <c r="F56" s="159"/>
      <c r="G56" s="159"/>
      <c r="H56" s="159"/>
      <c r="I56" s="159"/>
    </row>
    <row r="57" spans="1:9" ht="13.5" customHeight="1">
      <c r="A57" s="97" t="s">
        <v>341</v>
      </c>
      <c r="B57" s="131">
        <f>B41+B43</f>
        <v>50734</v>
      </c>
      <c r="C57" s="131">
        <f>C41+C43</f>
        <v>44567</v>
      </c>
      <c r="D57" s="131">
        <f>D41+D43</f>
        <v>43982</v>
      </c>
      <c r="E57" s="98"/>
      <c r="F57" s="159">
        <f>D57-B57</f>
        <v>-6752</v>
      </c>
      <c r="G57" s="159"/>
      <c r="H57" s="159">
        <f>H55-H58</f>
        <v>39717.243562500007</v>
      </c>
      <c r="I57" s="159">
        <f>I55-I58</f>
        <v>37752.604303125001</v>
      </c>
    </row>
    <row r="58" spans="1:9" ht="13.5" customHeight="1">
      <c r="A58" s="97" t="s">
        <v>342</v>
      </c>
      <c r="B58" s="132">
        <f>B44+B45</f>
        <v>27832</v>
      </c>
      <c r="C58" s="132">
        <f>C44+C45</f>
        <v>24062</v>
      </c>
      <c r="D58" s="132">
        <f>D44+D45</f>
        <v>24349</v>
      </c>
      <c r="E58" s="98"/>
      <c r="F58" s="159">
        <f>D58-B58</f>
        <v>-3483</v>
      </c>
      <c r="G58" s="159"/>
      <c r="H58" s="181">
        <f>D58-1500+H16</f>
        <v>26683.918937499999</v>
      </c>
      <c r="I58" s="181">
        <f>H58-1500+I16</f>
        <v>29622.866321875001</v>
      </c>
    </row>
    <row r="59" spans="1:9" ht="13.5" customHeight="1">
      <c r="A59" s="97" t="s">
        <v>364</v>
      </c>
      <c r="B59" s="131">
        <f>B57+B58</f>
        <v>78566</v>
      </c>
      <c r="C59" s="131">
        <f>C57+C58</f>
        <v>68629</v>
      </c>
      <c r="D59" s="131">
        <f>D57+D58</f>
        <v>68331</v>
      </c>
      <c r="E59" s="98"/>
      <c r="F59" s="159"/>
      <c r="G59" s="159"/>
      <c r="H59" s="180">
        <f>H57+H58</f>
        <v>66401.162500000006</v>
      </c>
      <c r="I59" s="180">
        <f>I57+I58</f>
        <v>67375.470625000002</v>
      </c>
    </row>
    <row r="60" spans="1:9" ht="13.5" customHeight="1">
      <c r="A60" s="97"/>
      <c r="B60" s="131"/>
      <c r="C60" s="131"/>
      <c r="D60" s="131"/>
      <c r="E60" s="98"/>
      <c r="F60" s="159"/>
      <c r="G60" s="159"/>
      <c r="H60" s="148"/>
      <c r="I60" s="148"/>
    </row>
    <row r="61" spans="1:9" ht="13.5" customHeight="1" thickBot="1">
      <c r="A61" s="96" t="s">
        <v>344</v>
      </c>
      <c r="B61" s="133"/>
      <c r="C61" s="133"/>
      <c r="D61" s="133"/>
      <c r="E61" s="98"/>
      <c r="F61" s="159"/>
      <c r="G61" s="159"/>
      <c r="H61" s="148"/>
      <c r="I61" s="148"/>
    </row>
    <row r="62" spans="1:9" ht="13.5" customHeight="1">
      <c r="A62" s="90" t="s">
        <v>60</v>
      </c>
      <c r="B62" s="134">
        <f>B53</f>
        <v>30868</v>
      </c>
      <c r="C62" s="134">
        <f>C53</f>
        <v>23157</v>
      </c>
      <c r="D62" s="134">
        <f>D53</f>
        <v>21416</v>
      </c>
      <c r="E62" s="98"/>
      <c r="F62" s="159">
        <f>D62-B62</f>
        <v>-9452</v>
      </c>
      <c r="G62" s="159"/>
      <c r="H62" s="148"/>
      <c r="I62" s="148"/>
    </row>
    <row r="63" spans="1:9" ht="13.5" customHeight="1">
      <c r="A63" s="90" t="s">
        <v>71</v>
      </c>
      <c r="B63" s="132">
        <f>B43+B44+B45-B35</f>
        <v>6489</v>
      </c>
      <c r="C63" s="132">
        <f>C43+C44+C45-C35</f>
        <v>9350</v>
      </c>
      <c r="D63" s="132">
        <f>D43+D44+D45-D35</f>
        <v>11461</v>
      </c>
      <c r="E63" s="98"/>
      <c r="F63" s="159">
        <f>D63-B63</f>
        <v>4972</v>
      </c>
      <c r="G63" s="159"/>
      <c r="H63" s="148"/>
      <c r="I63" s="148"/>
    </row>
    <row r="64" spans="1:9" ht="13.5" customHeight="1">
      <c r="A64" s="90" t="s">
        <v>72</v>
      </c>
      <c r="B64" s="131">
        <f>B63-B62</f>
        <v>-24379</v>
      </c>
      <c r="C64" s="131">
        <f>C63-C62</f>
        <v>-13807</v>
      </c>
      <c r="D64" s="131">
        <f>D63-D62</f>
        <v>-9955</v>
      </c>
      <c r="E64" s="98"/>
      <c r="F64" s="159">
        <f>D64-B64</f>
        <v>14424</v>
      </c>
      <c r="G64" s="159"/>
      <c r="H64" s="148"/>
      <c r="I64" s="148"/>
    </row>
    <row r="65" spans="1:9" ht="13.5" customHeight="1">
      <c r="A65" s="90" t="s">
        <v>345</v>
      </c>
      <c r="B65" s="134"/>
      <c r="C65" s="134"/>
      <c r="D65" s="134"/>
      <c r="E65" s="98"/>
      <c r="F65" s="98"/>
      <c r="G65" s="98"/>
      <c r="H65" s="125"/>
    </row>
    <row r="66" spans="1:9" ht="13.5" customHeight="1">
      <c r="A66" s="90" t="s">
        <v>365</v>
      </c>
      <c r="B66" s="134">
        <f>B31-B41</f>
        <v>-24379</v>
      </c>
      <c r="C66" s="134">
        <f>C31-C41</f>
        <v>-13807</v>
      </c>
      <c r="D66" s="134">
        <f>D31-D41</f>
        <v>-9955</v>
      </c>
      <c r="E66" s="98"/>
      <c r="H66" s="125"/>
      <c r="I66" s="99" t="s">
        <v>366</v>
      </c>
    </row>
    <row r="67" spans="1:9" ht="13.5" customHeight="1">
      <c r="B67" s="129"/>
      <c r="C67" s="129"/>
      <c r="D67" s="129"/>
      <c r="H67" s="125"/>
    </row>
    <row r="68" spans="1:9" ht="13.5" customHeight="1" thickBot="1">
      <c r="A68" s="96" t="s">
        <v>368</v>
      </c>
      <c r="G68" s="226"/>
      <c r="H68" s="226"/>
      <c r="I68" s="227" t="s">
        <v>367</v>
      </c>
    </row>
    <row r="69" spans="1:9" ht="13.5" customHeight="1">
      <c r="A69" s="90" t="s">
        <v>347</v>
      </c>
      <c r="B69" s="134">
        <f>B32/B3*360</f>
        <v>120.05793103448276</v>
      </c>
      <c r="C69" s="134">
        <f>C32/C3*360</f>
        <v>93.389354408684056</v>
      </c>
      <c r="D69" s="134">
        <f>D32/D3*360</f>
        <v>98.563172712944365</v>
      </c>
    </row>
    <row r="70" spans="1:9" ht="13.5" customHeight="1">
      <c r="A70" s="90" t="s">
        <v>346</v>
      </c>
      <c r="B70" s="134">
        <f>(B33/B4)*360</f>
        <v>75.532670788011572</v>
      </c>
      <c r="C70" s="134">
        <f>(C33/C4)*360</f>
        <v>63.17908238776517</v>
      </c>
      <c r="D70" s="134">
        <f>(D33/D4)*360</f>
        <v>69.948641049671977</v>
      </c>
    </row>
    <row r="71" spans="1:9" ht="13.5" customHeight="1">
      <c r="A71" s="90" t="s">
        <v>348</v>
      </c>
      <c r="B71" s="134">
        <f>(B39/B4)*360</f>
        <v>60.838563267861332</v>
      </c>
      <c r="C71" s="134">
        <f>(C39/C4)*360</f>
        <v>51.202762703502721</v>
      </c>
      <c r="D71" s="134">
        <f>(D39/D4)*360</f>
        <v>56.709278350515469</v>
      </c>
    </row>
    <row r="72" spans="1:9" ht="13.5" customHeight="1">
      <c r="A72" s="90" t="s">
        <v>349</v>
      </c>
      <c r="B72" s="121">
        <f>B62/B3</f>
        <v>0.35480459770114942</v>
      </c>
      <c r="C72" s="121">
        <f>C62/C3</f>
        <v>0.27562607122452865</v>
      </c>
      <c r="D72" s="121">
        <f>D62/D3</f>
        <v>0.28849702962294399</v>
      </c>
      <c r="H72" s="230">
        <v>0.25</v>
      </c>
      <c r="I72" s="230">
        <v>0.25</v>
      </c>
    </row>
    <row r="73" spans="1:9" ht="13.5" customHeight="1">
      <c r="A73" s="90" t="s">
        <v>369</v>
      </c>
      <c r="B73" s="135">
        <f>(B42+B43)/B58</f>
        <v>2.2379275653923543</v>
      </c>
      <c r="C73" s="135">
        <f>(C42+C43)/C58</f>
        <v>2.2390906824037904</v>
      </c>
      <c r="D73" s="135">
        <f>(D42+D43)/D58</f>
        <v>2.1871945459772477</v>
      </c>
    </row>
    <row r="74" spans="1:9" ht="13.5" customHeight="1">
      <c r="A74" s="88" t="s">
        <v>370</v>
      </c>
      <c r="B74" s="135">
        <f>(B57-B52)/B9</f>
        <v>7.0860938288212543</v>
      </c>
      <c r="C74" s="135">
        <f>(C57-C52)/C9</f>
        <v>5.4427203697589963</v>
      </c>
      <c r="D74" s="135">
        <f>(D57-D52)/D9</f>
        <v>5.5525284900284904</v>
      </c>
      <c r="H74" s="184">
        <f>(H57-H52)/H9</f>
        <v>3.8746755134361028</v>
      </c>
      <c r="I74" s="184">
        <f>(I57-I52)/I9</f>
        <v>3.2187415226486675</v>
      </c>
    </row>
    <row r="75" spans="1:9" ht="13.5" customHeight="1">
      <c r="B75" s="136"/>
      <c r="C75" s="136"/>
      <c r="D75" s="136"/>
    </row>
    <row r="76" spans="1:9" ht="13.5" customHeight="1">
      <c r="A76" s="95"/>
      <c r="B76" s="129"/>
      <c r="D76" s="129"/>
    </row>
    <row r="77" spans="1:9" ht="13.5" customHeight="1">
      <c r="A77" s="95"/>
      <c r="B77" s="167"/>
      <c r="C77" s="167"/>
      <c r="D77" s="167"/>
    </row>
    <row r="78" spans="1:9" ht="13.5" customHeight="1">
      <c r="A78" s="95"/>
    </row>
    <row r="79" spans="1:9" ht="13.5" customHeight="1">
      <c r="A79" s="95"/>
      <c r="B79" s="137"/>
      <c r="C79" s="138"/>
      <c r="D79" s="138"/>
    </row>
    <row r="80" spans="1:9" ht="13.5" customHeight="1">
      <c r="A80" s="95"/>
      <c r="B80" s="139"/>
      <c r="C80" s="139"/>
      <c r="D80" s="139"/>
    </row>
    <row r="81" spans="1:4" ht="13.5" customHeight="1">
      <c r="A81" s="95"/>
      <c r="B81" s="139"/>
      <c r="C81" s="139"/>
      <c r="D81" s="139"/>
    </row>
    <row r="82" spans="1:4" ht="13.5" customHeight="1">
      <c r="A82" s="95"/>
      <c r="B82" s="140"/>
      <c r="C82" s="140"/>
      <c r="D82" s="140"/>
    </row>
    <row r="83" spans="1:4" ht="13.5" customHeight="1">
      <c r="A83" s="95"/>
      <c r="B83" s="110"/>
      <c r="C83" s="139"/>
      <c r="D83" s="139"/>
    </row>
    <row r="84" spans="1:4" ht="13.5" customHeight="1">
      <c r="B84" s="110"/>
      <c r="C84" s="141"/>
      <c r="D84" s="141"/>
    </row>
    <row r="85" spans="1:4" ht="13.5" customHeight="1">
      <c r="B85" s="139"/>
      <c r="C85" s="141"/>
      <c r="D85" s="141"/>
    </row>
    <row r="86" spans="1:4" ht="13.5" customHeight="1">
      <c r="B86" s="139"/>
      <c r="C86" s="141"/>
      <c r="D86" s="141"/>
    </row>
    <row r="87" spans="1:4" ht="13.5" customHeight="1">
      <c r="A87" s="95"/>
      <c r="B87" s="139"/>
      <c r="C87" s="141"/>
      <c r="D87" s="141"/>
    </row>
    <row r="88" spans="1:4" ht="13.5" customHeight="1">
      <c r="B88" s="142"/>
      <c r="C88" s="143"/>
      <c r="D88" s="143"/>
    </row>
    <row r="89" spans="1:4" ht="13.5" customHeight="1">
      <c r="B89" s="142"/>
      <c r="C89" s="143"/>
      <c r="D89" s="143"/>
    </row>
    <row r="90" spans="1:4" ht="13.5" customHeight="1">
      <c r="A90" s="95"/>
    </row>
    <row r="92" spans="1:4" ht="13.5" customHeight="1">
      <c r="A92" s="95"/>
      <c r="B92" s="127"/>
      <c r="C92" s="127"/>
      <c r="D92" s="127"/>
    </row>
    <row r="93" spans="1:4" ht="13.5" customHeight="1">
      <c r="A93" s="95"/>
      <c r="B93" s="127"/>
      <c r="C93" s="127"/>
      <c r="D93" s="127"/>
    </row>
    <row r="94" spans="1:4" ht="13.5" customHeight="1">
      <c r="B94" s="127"/>
      <c r="C94" s="127"/>
      <c r="D94" s="127"/>
    </row>
    <row r="95" spans="1:4" ht="13.5" customHeight="1">
      <c r="B95" s="127"/>
      <c r="C95" s="127"/>
      <c r="D95" s="127"/>
    </row>
    <row r="96" spans="1:4" ht="13.5" customHeight="1">
      <c r="B96" s="127"/>
      <c r="C96" s="127"/>
      <c r="D96" s="127"/>
    </row>
    <row r="97" spans="1:4" ht="13.5" customHeight="1">
      <c r="A97" s="95"/>
      <c r="B97" s="127"/>
      <c r="C97" s="127"/>
      <c r="D97" s="127"/>
    </row>
    <row r="98" spans="1:4" ht="13.5" customHeight="1">
      <c r="B98" s="127"/>
      <c r="C98" s="127"/>
      <c r="D98" s="127"/>
    </row>
    <row r="99" spans="1:4" ht="13.5" customHeight="1">
      <c r="B99" s="127"/>
      <c r="C99" s="127"/>
      <c r="D99" s="127"/>
    </row>
    <row r="100" spans="1:4" ht="13.5" customHeight="1">
      <c r="B100" s="127"/>
      <c r="C100" s="127"/>
      <c r="D100" s="127"/>
    </row>
    <row r="101" spans="1:4" ht="13.5" customHeight="1">
      <c r="A101" s="144"/>
      <c r="B101" s="127"/>
      <c r="C101" s="127"/>
      <c r="D101" s="127"/>
    </row>
    <row r="102" spans="1:4" ht="13.5" customHeight="1">
      <c r="B102" s="127"/>
      <c r="C102" s="127"/>
      <c r="D102" s="127"/>
    </row>
    <row r="103" spans="1:4" ht="13.5" customHeight="1">
      <c r="B103" s="127"/>
      <c r="C103" s="127"/>
      <c r="D103" s="127"/>
    </row>
    <row r="104" spans="1:4" ht="13.5" customHeight="1">
      <c r="A104" s="95"/>
    </row>
    <row r="105" spans="1:4" ht="13.5" customHeight="1">
      <c r="B105" s="110"/>
      <c r="C105" s="110"/>
      <c r="D105" s="110"/>
    </row>
    <row r="106" spans="1:4" ht="13.5" customHeight="1">
      <c r="B106" s="110"/>
      <c r="C106" s="110"/>
      <c r="D106" s="110"/>
    </row>
    <row r="107" spans="1:4" ht="13.5" customHeight="1">
      <c r="A107" s="95"/>
      <c r="B107" s="110"/>
      <c r="C107" s="110"/>
      <c r="D107" s="110"/>
    </row>
    <row r="108" spans="1:4" ht="13.5" customHeight="1">
      <c r="B108" s="110"/>
      <c r="C108" s="110"/>
      <c r="D108" s="110"/>
    </row>
    <row r="109" spans="1:4" ht="13.5" customHeight="1">
      <c r="A109" s="95"/>
      <c r="B109" s="110"/>
      <c r="C109" s="110"/>
      <c r="D109" s="110"/>
    </row>
    <row r="110" spans="1:4" ht="13.5" customHeight="1">
      <c r="A110" s="95"/>
      <c r="B110" s="110"/>
      <c r="C110" s="110"/>
      <c r="D110" s="110"/>
    </row>
    <row r="111" spans="1:4" ht="13.5" customHeight="1">
      <c r="A111" s="95"/>
      <c r="B111" s="110"/>
      <c r="C111" s="110"/>
      <c r="D111" s="110"/>
    </row>
    <row r="112" spans="1:4" ht="13.5" customHeight="1">
      <c r="B112" s="110"/>
      <c r="C112" s="110"/>
      <c r="D112" s="110"/>
    </row>
    <row r="113" spans="1:4" ht="13.5" customHeight="1">
      <c r="B113" s="110"/>
      <c r="C113" s="110"/>
      <c r="D113" s="110"/>
    </row>
    <row r="114" spans="1:4" ht="13.5" customHeight="1">
      <c r="B114" s="110"/>
      <c r="C114" s="110"/>
      <c r="D114" s="110"/>
    </row>
    <row r="115" spans="1:4" ht="13.5" customHeight="1">
      <c r="A115" s="95"/>
      <c r="B115" s="110"/>
      <c r="C115" s="110"/>
      <c r="D115" s="110"/>
    </row>
    <row r="116" spans="1:4" ht="13.5" customHeight="1">
      <c r="B116" s="110"/>
      <c r="C116" s="110"/>
      <c r="D116" s="110"/>
    </row>
    <row r="117" spans="1:4" ht="13.5" customHeight="1">
      <c r="B117" s="110"/>
      <c r="C117" s="110"/>
      <c r="D117" s="110"/>
    </row>
    <row r="118" spans="1:4" ht="13.5" customHeight="1">
      <c r="B118" s="124"/>
      <c r="C118" s="124"/>
      <c r="D118" s="128"/>
    </row>
    <row r="119" spans="1:4" ht="13.5" customHeight="1">
      <c r="B119" s="124"/>
      <c r="C119" s="124"/>
      <c r="D119" s="128"/>
    </row>
    <row r="120" spans="1:4" ht="13.5" customHeight="1">
      <c r="A120" s="95"/>
      <c r="B120" s="124"/>
      <c r="C120" s="124"/>
      <c r="D120" s="124"/>
    </row>
    <row r="122" spans="1:4" ht="13.5" customHeight="1">
      <c r="A122" s="95"/>
      <c r="B122" s="145"/>
      <c r="C122" s="145"/>
      <c r="D122" s="145"/>
    </row>
    <row r="123" spans="1:4" ht="13.5" customHeight="1">
      <c r="A123" s="110"/>
      <c r="B123" s="145"/>
      <c r="C123" s="145"/>
      <c r="D123" s="145"/>
    </row>
    <row r="124" spans="1:4" ht="13.5" customHeight="1">
      <c r="A124" s="110"/>
      <c r="B124" s="145"/>
      <c r="C124" s="145"/>
      <c r="D124" s="145"/>
    </row>
    <row r="125" spans="1:4" ht="13.5" customHeight="1">
      <c r="B125" s="145"/>
      <c r="C125" s="146"/>
      <c r="D125" s="146"/>
    </row>
    <row r="126" spans="1:4" ht="13.5" customHeight="1">
      <c r="B126" s="145"/>
      <c r="C126" s="146"/>
      <c r="D126" s="146"/>
    </row>
    <row r="127" spans="1:4" ht="13.5" customHeight="1">
      <c r="A127" s="95"/>
      <c r="C127" s="124"/>
      <c r="D127" s="124"/>
    </row>
    <row r="128" spans="1:4" ht="13.5" customHeight="1">
      <c r="C128" s="124"/>
      <c r="D128" s="124"/>
    </row>
    <row r="132" spans="2:4" ht="13.5" customHeight="1">
      <c r="B132" s="110"/>
      <c r="C132" s="110"/>
      <c r="D132" s="110"/>
    </row>
    <row r="133" spans="2:4" ht="13.5" customHeight="1">
      <c r="B133" s="110"/>
      <c r="C133" s="110"/>
      <c r="D133" s="110"/>
    </row>
    <row r="134" spans="2:4" ht="13.5" customHeight="1">
      <c r="B134" s="110"/>
      <c r="C134" s="110"/>
      <c r="D134" s="110"/>
    </row>
    <row r="135" spans="2:4" ht="13.5" customHeight="1">
      <c r="B135" s="110"/>
      <c r="C135" s="110"/>
      <c r="D135" s="110"/>
    </row>
    <row r="137" spans="2:4" ht="13.5" customHeight="1">
      <c r="B137" s="110"/>
      <c r="C137" s="110"/>
      <c r="D137" s="110"/>
    </row>
    <row r="138" spans="2:4" ht="13.5" customHeight="1">
      <c r="B138" s="110"/>
      <c r="C138" s="110"/>
      <c r="D138" s="110"/>
    </row>
    <row r="140" spans="2:4" ht="13.5" customHeight="1">
      <c r="B140" s="110"/>
      <c r="C140" s="110"/>
      <c r="D140" s="110"/>
    </row>
    <row r="141" spans="2:4" ht="13.5" customHeight="1">
      <c r="B141" s="110"/>
      <c r="C141" s="110"/>
      <c r="D141" s="110"/>
    </row>
    <row r="142" spans="2:4" ht="13.5" customHeight="1">
      <c r="B142" s="110"/>
      <c r="C142" s="110"/>
      <c r="D142" s="110"/>
    </row>
    <row r="144" spans="2:4" ht="13.5" customHeight="1">
      <c r="B144" s="110"/>
      <c r="C144" s="110"/>
      <c r="D144" s="110"/>
    </row>
    <row r="145" spans="2:4" ht="13.5" customHeight="1">
      <c r="B145" s="110"/>
      <c r="C145" s="110"/>
      <c r="D145" s="110"/>
    </row>
    <row r="146" spans="2:4" ht="13.5" customHeight="1">
      <c r="B146" s="110"/>
      <c r="C146" s="110"/>
      <c r="D146" s="110"/>
    </row>
    <row r="147" spans="2:4" ht="13.5" customHeight="1">
      <c r="B147" s="110"/>
      <c r="C147" s="110"/>
      <c r="D147" s="110"/>
    </row>
  </sheetData>
  <printOptions headings="1" gridLinesSet="0"/>
  <pageMargins left="0.6692913385826772" right="0.31496062992125984" top="0.62992125984251968" bottom="0.59055118110236227" header="0.51181102362204722" footer="0.51181102362204722"/>
  <pageSetup paperSize="9" scale="96" orientation="portrait" verticalDpi="4294967292" r:id="rId1"/>
  <headerFooter alignWithMargins="0"/>
  <rowBreaks count="2" manualBreakCount="2">
    <brk id="28" max="7" man="1"/>
    <brk id="7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47"/>
  <sheetViews>
    <sheetView showGridLines="0" view="pageBreakPreview" topLeftCell="A40" zoomScaleNormal="100" zoomScaleSheetLayoutView="100" workbookViewId="0">
      <selection activeCell="K24" sqref="K24"/>
    </sheetView>
  </sheetViews>
  <sheetFormatPr defaultColWidth="11.3984375" defaultRowHeight="13.5" customHeight="1"/>
  <cols>
    <col min="1" max="1" width="26.09765625" style="88" customWidth="1"/>
    <col min="2" max="4" width="11.3984375" style="108" customWidth="1"/>
    <col min="5" max="5" width="4.09765625" style="110" customWidth="1"/>
    <col min="6" max="7" width="7.19921875" style="110" customWidth="1"/>
    <col min="8" max="8" width="10.3984375" style="110" customWidth="1"/>
    <col min="9" max="9" width="10.8984375" style="110" customWidth="1"/>
    <col min="10" max="10" width="11.3984375" style="110"/>
    <col min="11" max="11" width="12.19921875" style="110" bestFit="1" customWidth="1"/>
    <col min="12" max="16384" width="11.3984375" style="110"/>
  </cols>
  <sheetData>
    <row r="1" spans="1:29" ht="18.75" customHeight="1">
      <c r="A1" s="3" t="s">
        <v>300</v>
      </c>
      <c r="C1" s="109"/>
      <c r="D1" s="109"/>
      <c r="H1" s="170" t="s">
        <v>357</v>
      </c>
      <c r="I1" s="170" t="s">
        <v>357</v>
      </c>
      <c r="K1" s="111"/>
    </row>
    <row r="2" spans="1:29" ht="16.5" customHeight="1" thickBot="1">
      <c r="A2" s="187" t="s">
        <v>360</v>
      </c>
      <c r="B2" s="173">
        <v>2008</v>
      </c>
      <c r="C2" s="173">
        <f>B2+1</f>
        <v>2009</v>
      </c>
      <c r="D2" s="173">
        <f>C2+1</f>
        <v>2010</v>
      </c>
      <c r="H2" s="171">
        <f>D2+1</f>
        <v>2011</v>
      </c>
      <c r="I2" s="171">
        <f>H2+1</f>
        <v>2012</v>
      </c>
      <c r="J2" s="158"/>
      <c r="K2" s="111"/>
    </row>
    <row r="3" spans="1:29" ht="13.5" customHeight="1">
      <c r="A3" s="188" t="s">
        <v>62</v>
      </c>
      <c r="B3" s="112">
        <v>87000</v>
      </c>
      <c r="C3" s="112">
        <v>84016</v>
      </c>
      <c r="D3" s="112">
        <v>74233</v>
      </c>
      <c r="F3" s="1"/>
      <c r="G3" s="1"/>
      <c r="H3" s="194"/>
      <c r="I3" s="194"/>
      <c r="K3" s="62"/>
      <c r="L3" s="114"/>
      <c r="M3" s="114"/>
    </row>
    <row r="4" spans="1:29" s="115" customFormat="1" ht="13.5" customHeight="1">
      <c r="A4" s="189" t="s">
        <v>57</v>
      </c>
      <c r="B4" s="113">
        <v>63895</v>
      </c>
      <c r="C4" s="113">
        <v>60810</v>
      </c>
      <c r="D4" s="113">
        <v>53350</v>
      </c>
      <c r="E4" s="114"/>
      <c r="F4" s="1"/>
      <c r="G4" s="1"/>
      <c r="H4" s="195"/>
      <c r="I4" s="195"/>
      <c r="J4" s="114"/>
      <c r="K4" s="6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114" customFormat="1" ht="13.5" customHeight="1">
      <c r="A5" s="149" t="s">
        <v>303</v>
      </c>
      <c r="B5" s="112">
        <f>B3-B4</f>
        <v>23105</v>
      </c>
      <c r="C5" s="152">
        <f>C3-C4</f>
        <v>23206</v>
      </c>
      <c r="D5" s="112">
        <f>D3-D4</f>
        <v>20883</v>
      </c>
      <c r="F5" s="1"/>
      <c r="G5" s="1"/>
      <c r="H5" s="194"/>
      <c r="I5" s="194"/>
      <c r="K5" s="62"/>
    </row>
    <row r="6" spans="1:29" ht="13.5" customHeight="1">
      <c r="A6" s="190" t="s">
        <v>304</v>
      </c>
      <c r="B6" s="116">
        <f>16640-6264</f>
        <v>10376</v>
      </c>
      <c r="C6" s="128">
        <f>15455-4126</f>
        <v>11329</v>
      </c>
      <c r="D6" s="116">
        <f>13534-3334</f>
        <v>10200</v>
      </c>
      <c r="E6" s="114"/>
      <c r="F6" s="1"/>
      <c r="G6" s="1"/>
      <c r="H6" s="194"/>
      <c r="I6" s="194"/>
      <c r="K6" s="46"/>
      <c r="L6" s="114"/>
      <c r="M6" s="114"/>
      <c r="N6" s="114"/>
      <c r="O6" s="114"/>
      <c r="P6" s="114"/>
    </row>
    <row r="7" spans="1:29" ht="13.5" customHeight="1">
      <c r="A7" s="147" t="s">
        <v>305</v>
      </c>
      <c r="B7" s="116">
        <v>6782</v>
      </c>
      <c r="C7" s="128">
        <v>5819</v>
      </c>
      <c r="D7" s="116">
        <f>5067</f>
        <v>5067</v>
      </c>
      <c r="F7" s="1"/>
      <c r="G7" s="1"/>
      <c r="H7" s="194"/>
      <c r="I7" s="194"/>
      <c r="K7" s="46"/>
      <c r="L7" s="114"/>
      <c r="M7" s="114"/>
      <c r="N7" s="114"/>
      <c r="O7" s="114"/>
      <c r="P7" s="114"/>
    </row>
    <row r="8" spans="1:29" ht="13.5" customHeight="1">
      <c r="A8" s="154" t="s">
        <v>181</v>
      </c>
      <c r="B8" s="113">
        <f>B6+B7</f>
        <v>17158</v>
      </c>
      <c r="C8" s="153">
        <f>C6+C7</f>
        <v>17148</v>
      </c>
      <c r="D8" s="113">
        <f>D6+D7</f>
        <v>15267</v>
      </c>
      <c r="F8" s="114"/>
      <c r="G8" s="114"/>
      <c r="H8" s="195"/>
      <c r="I8" s="195"/>
      <c r="K8" s="46"/>
      <c r="L8" s="114"/>
      <c r="M8" s="114"/>
    </row>
    <row r="9" spans="1:29" ht="13.5" customHeight="1">
      <c r="A9" s="83" t="s">
        <v>29</v>
      </c>
      <c r="B9" s="116">
        <f>B5-B8</f>
        <v>5947</v>
      </c>
      <c r="C9" s="128">
        <f>C5-C8</f>
        <v>6058</v>
      </c>
      <c r="D9" s="116">
        <f>D5-D8</f>
        <v>5616</v>
      </c>
      <c r="F9" s="1"/>
      <c r="G9" s="1"/>
      <c r="H9" s="194"/>
      <c r="I9" s="194"/>
      <c r="K9" s="62"/>
      <c r="L9" s="114"/>
      <c r="M9" s="114"/>
    </row>
    <row r="10" spans="1:29" ht="13.5" customHeight="1">
      <c r="A10" s="191" t="s">
        <v>306</v>
      </c>
      <c r="B10" s="113">
        <v>6264</v>
      </c>
      <c r="C10" s="153">
        <v>4126</v>
      </c>
      <c r="D10" s="113">
        <v>3334</v>
      </c>
      <c r="F10" s="1"/>
      <c r="G10" s="1"/>
      <c r="H10" s="195"/>
      <c r="I10" s="195"/>
      <c r="K10" s="62"/>
      <c r="L10" s="114"/>
      <c r="M10" s="114"/>
    </row>
    <row r="11" spans="1:29" ht="13.5" customHeight="1">
      <c r="A11" s="83" t="s">
        <v>307</v>
      </c>
      <c r="B11" s="112">
        <f>B9-B10</f>
        <v>-317</v>
      </c>
      <c r="C11" s="112">
        <f>C9-C10</f>
        <v>1932</v>
      </c>
      <c r="D11" s="112">
        <f>D9-D10</f>
        <v>2282</v>
      </c>
      <c r="F11" s="1"/>
      <c r="G11" s="1"/>
      <c r="H11" s="194"/>
      <c r="I11" s="194"/>
      <c r="K11" s="62"/>
      <c r="L11" s="114"/>
      <c r="M11" s="114"/>
    </row>
    <row r="12" spans="1:29" ht="13.5" customHeight="1">
      <c r="A12" s="149" t="s">
        <v>308</v>
      </c>
      <c r="B12" s="113">
        <f>2762+49+173-32+43</f>
        <v>2995</v>
      </c>
      <c r="C12" s="113">
        <f>1321-114+18+94+224</f>
        <v>1543</v>
      </c>
      <c r="D12" s="113">
        <f>642+142+61+31+214</f>
        <v>1090</v>
      </c>
      <c r="F12" s="1"/>
      <c r="G12" s="1"/>
      <c r="H12" s="195"/>
      <c r="I12" s="195"/>
      <c r="K12" s="62"/>
      <c r="L12" s="114"/>
      <c r="M12" s="114"/>
    </row>
    <row r="13" spans="1:29" ht="13.5" customHeight="1">
      <c r="A13" s="156" t="s">
        <v>309</v>
      </c>
      <c r="B13" s="112">
        <f>B11+B12</f>
        <v>2678</v>
      </c>
      <c r="C13" s="152">
        <f>C11+C12</f>
        <v>3475</v>
      </c>
      <c r="D13" s="112">
        <f>D11+D12</f>
        <v>3372</v>
      </c>
      <c r="F13" s="1"/>
      <c r="G13" s="1"/>
      <c r="H13" s="196"/>
      <c r="I13" s="196"/>
      <c r="K13" s="62"/>
      <c r="L13" s="114"/>
      <c r="M13" s="114"/>
    </row>
    <row r="14" spans="1:29" ht="13.5" customHeight="1">
      <c r="A14" s="192" t="s">
        <v>63</v>
      </c>
      <c r="B14" s="116">
        <v>781</v>
      </c>
      <c r="C14" s="128">
        <v>849</v>
      </c>
      <c r="D14" s="116">
        <v>867</v>
      </c>
      <c r="F14" s="1"/>
      <c r="G14" s="1"/>
      <c r="H14" s="194"/>
      <c r="I14" s="194"/>
      <c r="K14" s="62"/>
      <c r="L14" s="114"/>
      <c r="M14" s="114"/>
    </row>
    <row r="15" spans="1:29" ht="13.5" customHeight="1">
      <c r="A15" s="193" t="s">
        <v>355</v>
      </c>
      <c r="B15" s="113">
        <v>191</v>
      </c>
      <c r="C15" s="153">
        <v>-29</v>
      </c>
      <c r="D15" s="113">
        <v>-60</v>
      </c>
      <c r="F15" s="1"/>
      <c r="G15" s="1"/>
      <c r="H15" s="195"/>
      <c r="I15" s="195"/>
      <c r="K15" s="62"/>
      <c r="L15" s="114"/>
      <c r="M15" s="114"/>
    </row>
    <row r="16" spans="1:29" ht="13.5" customHeight="1">
      <c r="A16" s="189" t="s">
        <v>356</v>
      </c>
      <c r="B16" s="113">
        <f>B13-B14+B15</f>
        <v>2088</v>
      </c>
      <c r="C16" s="113">
        <f>C13-C14+C15</f>
        <v>2597</v>
      </c>
      <c r="D16" s="113">
        <f>D13-D14+D15</f>
        <v>2445</v>
      </c>
      <c r="F16" s="1"/>
      <c r="G16" s="1"/>
      <c r="H16" s="194"/>
      <c r="I16" s="194"/>
      <c r="K16" s="62"/>
      <c r="L16" s="114"/>
      <c r="M16" s="114"/>
    </row>
    <row r="17" spans="1:13" ht="13.5" customHeight="1">
      <c r="B17" s="141"/>
      <c r="C17" s="141"/>
      <c r="D17" s="141"/>
      <c r="K17" s="29"/>
    </row>
    <row r="18" spans="1:13" ht="13.5" customHeight="1" thickBot="1">
      <c r="A18" s="89" t="s">
        <v>311</v>
      </c>
      <c r="B18" s="157"/>
      <c r="C18" s="118"/>
      <c r="D18" s="119"/>
      <c r="E18" s="98"/>
      <c r="H18" s="226"/>
      <c r="I18" s="227" t="s">
        <v>358</v>
      </c>
      <c r="K18" s="150"/>
      <c r="L18" s="114"/>
      <c r="M18" s="114"/>
    </row>
    <row r="19" spans="1:13" ht="13.5" customHeight="1">
      <c r="A19" s="90" t="s">
        <v>64</v>
      </c>
      <c r="B19" s="119" t="s">
        <v>147</v>
      </c>
      <c r="C19" s="214"/>
      <c r="D19" s="214"/>
      <c r="E19" s="98"/>
      <c r="F19" s="98"/>
      <c r="G19" s="98"/>
      <c r="H19" s="228">
        <v>0.05</v>
      </c>
      <c r="I19" s="228">
        <v>0.05</v>
      </c>
      <c r="K19" s="66"/>
      <c r="L19" s="114"/>
      <c r="M19" s="114"/>
    </row>
    <row r="20" spans="1:13" ht="13.5" customHeight="1">
      <c r="A20" s="90" t="s">
        <v>312</v>
      </c>
      <c r="B20" s="198"/>
      <c r="C20" s="198"/>
      <c r="D20" s="198"/>
      <c r="E20" s="98"/>
      <c r="F20" s="98"/>
      <c r="G20" s="98"/>
      <c r="H20" s="229">
        <v>0.28499999999999998</v>
      </c>
      <c r="I20" s="229">
        <v>0.28499999999999998</v>
      </c>
      <c r="K20" s="66"/>
      <c r="L20" s="114"/>
      <c r="M20" s="114"/>
    </row>
    <row r="21" spans="1:13" ht="13.5" customHeight="1">
      <c r="A21" s="17" t="s">
        <v>313</v>
      </c>
      <c r="B21" s="213"/>
      <c r="C21" s="213"/>
      <c r="D21" s="213"/>
      <c r="E21" s="98"/>
      <c r="F21" s="98"/>
      <c r="G21" s="98"/>
      <c r="H21" s="197"/>
      <c r="I21" s="197"/>
      <c r="K21" s="66"/>
      <c r="L21" s="114"/>
      <c r="M21" s="114"/>
    </row>
    <row r="22" spans="1:13" ht="13.5" customHeight="1">
      <c r="A22" s="56" t="s">
        <v>166</v>
      </c>
      <c r="B22" s="119" t="s">
        <v>147</v>
      </c>
      <c r="C22" s="197"/>
      <c r="D22" s="197"/>
      <c r="E22" s="98"/>
      <c r="F22" s="98"/>
      <c r="G22" s="98"/>
      <c r="H22" s="228">
        <v>0</v>
      </c>
      <c r="I22" s="228">
        <v>0.02</v>
      </c>
      <c r="K22" s="66"/>
      <c r="L22" s="114"/>
      <c r="M22" s="114"/>
    </row>
    <row r="23" spans="1:13" ht="13.5" customHeight="1">
      <c r="A23" s="90" t="s">
        <v>314</v>
      </c>
      <c r="B23" s="198"/>
      <c r="C23" s="198"/>
      <c r="D23" s="198"/>
      <c r="E23" s="98"/>
      <c r="F23" s="98"/>
      <c r="G23" s="98"/>
      <c r="H23" s="198"/>
      <c r="I23" s="198"/>
      <c r="K23" s="114"/>
      <c r="L23" s="114"/>
      <c r="M23" s="114"/>
    </row>
    <row r="24" spans="1:13" ht="13.5" customHeight="1">
      <c r="A24" s="91" t="s">
        <v>316</v>
      </c>
      <c r="B24" s="205"/>
      <c r="C24" s="205"/>
      <c r="D24" s="205"/>
      <c r="E24" s="98"/>
      <c r="F24" s="98"/>
      <c r="G24" s="98"/>
      <c r="H24" s="198"/>
      <c r="I24" s="198"/>
      <c r="K24" s="114"/>
      <c r="L24" s="114"/>
      <c r="M24" s="114"/>
    </row>
    <row r="25" spans="1:13" ht="13.5" customHeight="1">
      <c r="A25" s="90" t="s">
        <v>315</v>
      </c>
      <c r="B25" s="213"/>
      <c r="C25" s="213"/>
      <c r="D25" s="213"/>
      <c r="E25" s="98"/>
      <c r="F25" s="98"/>
      <c r="G25" s="98"/>
      <c r="H25" s="197"/>
      <c r="I25" s="197"/>
      <c r="K25" s="66"/>
      <c r="L25" s="114"/>
      <c r="M25" s="114"/>
    </row>
    <row r="26" spans="1:13" ht="13.5" customHeight="1">
      <c r="A26" s="90" t="s">
        <v>317</v>
      </c>
      <c r="B26" s="197"/>
      <c r="C26" s="197"/>
      <c r="D26" s="197"/>
      <c r="E26" s="98"/>
      <c r="F26" s="98"/>
      <c r="G26" s="98"/>
      <c r="H26" s="197"/>
      <c r="I26" s="197"/>
      <c r="K26" s="151"/>
      <c r="L26" s="114"/>
      <c r="M26" s="114"/>
    </row>
    <row r="27" spans="1:13" ht="13.5" customHeight="1">
      <c r="A27" s="90" t="s">
        <v>318</v>
      </c>
      <c r="B27" s="215"/>
      <c r="C27" s="215"/>
      <c r="D27" s="215"/>
      <c r="E27" s="98"/>
      <c r="F27" s="98"/>
      <c r="G27" s="98"/>
      <c r="H27" s="199"/>
      <c r="I27" s="199"/>
      <c r="K27" s="66"/>
      <c r="L27" s="114"/>
      <c r="M27" s="114"/>
    </row>
    <row r="28" spans="1:13" ht="13.5" customHeight="1">
      <c r="A28" s="90"/>
      <c r="B28" s="123"/>
      <c r="C28" s="123"/>
      <c r="D28" s="123"/>
      <c r="E28" s="98"/>
      <c r="F28" s="98"/>
      <c r="G28" s="98"/>
      <c r="H28" s="168"/>
      <c r="I28" s="168"/>
      <c r="K28" s="66"/>
      <c r="L28" s="114"/>
      <c r="M28" s="114"/>
    </row>
    <row r="29" spans="1:13" ht="13.5" customHeight="1">
      <c r="B29" s="124"/>
      <c r="C29" s="124"/>
      <c r="D29" s="124"/>
    </row>
    <row r="30" spans="1:13" ht="17.25" customHeight="1" thickBot="1">
      <c r="A30" s="3" t="s">
        <v>359</v>
      </c>
      <c r="B30" s="174">
        <f>B2</f>
        <v>2008</v>
      </c>
      <c r="C30" s="174">
        <f>C2</f>
        <v>2009</v>
      </c>
      <c r="D30" s="210">
        <f>D2</f>
        <v>2010</v>
      </c>
      <c r="E30" s="211"/>
      <c r="F30" s="209" t="s">
        <v>361</v>
      </c>
      <c r="G30" s="169"/>
    </row>
    <row r="31" spans="1:13" ht="13.5" customHeight="1">
      <c r="A31" s="81" t="s">
        <v>66</v>
      </c>
      <c r="B31" s="112">
        <f>7802+791</f>
        <v>8593</v>
      </c>
      <c r="C31" s="112">
        <f>11196+399</f>
        <v>11595</v>
      </c>
      <c r="D31" s="112">
        <f>12149+650</f>
        <v>12799</v>
      </c>
      <c r="F31" s="201"/>
      <c r="G31" s="159"/>
    </row>
    <row r="32" spans="1:13" ht="13.5" customHeight="1">
      <c r="A32" s="87" t="s">
        <v>320</v>
      </c>
      <c r="B32" s="116">
        <f>17734+1113+10167</f>
        <v>29014</v>
      </c>
      <c r="C32" s="116">
        <f>15230+1212+5353</f>
        <v>21795</v>
      </c>
      <c r="D32" s="116">
        <v>20324</v>
      </c>
      <c r="F32" s="201"/>
      <c r="G32" s="159"/>
      <c r="K32" s="110">
        <v>20324</v>
      </c>
    </row>
    <row r="33" spans="1:11" ht="13.5" customHeight="1">
      <c r="A33" s="87" t="s">
        <v>67</v>
      </c>
      <c r="B33" s="116">
        <v>13406</v>
      </c>
      <c r="C33" s="116">
        <v>10672</v>
      </c>
      <c r="D33" s="116">
        <v>10366</v>
      </c>
      <c r="F33" s="201"/>
      <c r="G33" s="159"/>
      <c r="K33" s="110">
        <v>10366</v>
      </c>
    </row>
    <row r="34" spans="1:11" ht="13.5" customHeight="1">
      <c r="A34" s="81" t="s">
        <v>321</v>
      </c>
      <c r="B34" s="112">
        <f>SUM(B31:B33)</f>
        <v>51013</v>
      </c>
      <c r="C34" s="112">
        <f>SUM(C31:C33)</f>
        <v>44062</v>
      </c>
      <c r="D34" s="112">
        <f>SUM(D31:D33)</f>
        <v>43489</v>
      </c>
      <c r="F34" s="159"/>
      <c r="G34" s="159"/>
    </row>
    <row r="35" spans="1:11" ht="13.5" customHeight="1">
      <c r="A35" s="82" t="s">
        <v>322</v>
      </c>
      <c r="B35" s="113">
        <f>90118-51013</f>
        <v>39105</v>
      </c>
      <c r="C35" s="113">
        <f>77939-44062</f>
        <v>33877</v>
      </c>
      <c r="D35" s="113">
        <f>77605-43489</f>
        <v>34116</v>
      </c>
      <c r="F35" s="201"/>
      <c r="G35" s="159"/>
    </row>
    <row r="36" spans="1:11" ht="13.5" customHeight="1">
      <c r="A36" s="82" t="s">
        <v>323</v>
      </c>
      <c r="B36" s="126">
        <f>B34+B35</f>
        <v>90118</v>
      </c>
      <c r="C36" s="126">
        <f>C34+C35</f>
        <v>77939</v>
      </c>
      <c r="D36" s="126">
        <f>D34+D35</f>
        <v>77605</v>
      </c>
      <c r="F36" s="159"/>
      <c r="G36" s="159"/>
    </row>
    <row r="37" spans="1:11" ht="13.5" customHeight="1">
      <c r="B37" s="108" t="s">
        <v>4</v>
      </c>
      <c r="F37" s="160"/>
      <c r="G37" s="160"/>
    </row>
    <row r="38" spans="1:11" ht="13.5" customHeight="1">
      <c r="A38" s="3" t="s">
        <v>326</v>
      </c>
      <c r="D38" s="127"/>
      <c r="F38" s="160"/>
      <c r="G38" s="160"/>
    </row>
    <row r="39" spans="1:11" ht="13.5" customHeight="1">
      <c r="A39" s="81" t="s">
        <v>68</v>
      </c>
      <c r="B39" s="112">
        <v>10798</v>
      </c>
      <c r="C39" s="112">
        <v>8649</v>
      </c>
      <c r="D39" s="112">
        <v>8404</v>
      </c>
      <c r="F39" s="201"/>
      <c r="G39" s="159"/>
      <c r="K39" s="110">
        <v>8404</v>
      </c>
    </row>
    <row r="40" spans="1:11" ht="13.5" customHeight="1">
      <c r="A40" s="106" t="s">
        <v>327</v>
      </c>
      <c r="B40" s="116">
        <v>754</v>
      </c>
      <c r="C40" s="116">
        <v>661</v>
      </c>
      <c r="D40" s="116">
        <v>870</v>
      </c>
      <c r="F40" s="201"/>
      <c r="G40" s="159"/>
    </row>
    <row r="41" spans="1:11" ht="13.5" customHeight="1">
      <c r="A41" s="82" t="s">
        <v>69</v>
      </c>
      <c r="B41" s="116">
        <f>2637+10864+19471</f>
        <v>32972</v>
      </c>
      <c r="C41" s="116">
        <f>2103+9608+13691</f>
        <v>25402</v>
      </c>
      <c r="D41" s="116">
        <f>1745+8884+12125</f>
        <v>22754</v>
      </c>
      <c r="F41" s="201"/>
      <c r="G41" s="159"/>
    </row>
    <row r="42" spans="1:11" ht="13.5" customHeight="1">
      <c r="A42" s="81" t="s">
        <v>328</v>
      </c>
      <c r="B42" s="112">
        <f>B39+B40+B41</f>
        <v>44524</v>
      </c>
      <c r="C42" s="112">
        <f>C39+C40+C41</f>
        <v>34712</v>
      </c>
      <c r="D42" s="112">
        <f>D39+D40+D41</f>
        <v>32028</v>
      </c>
      <c r="F42" s="159"/>
      <c r="G42" s="159"/>
    </row>
    <row r="43" spans="1:11" ht="13.5" customHeight="1">
      <c r="A43" s="87" t="s">
        <v>329</v>
      </c>
      <c r="B43" s="116">
        <f>9973+4721+111+2957</f>
        <v>17762</v>
      </c>
      <c r="C43" s="116">
        <f>10243+5326+195+3401</f>
        <v>19165</v>
      </c>
      <c r="D43" s="116">
        <f>11433+5843+534+3418</f>
        <v>21228</v>
      </c>
      <c r="F43" s="201"/>
      <c r="G43" s="159"/>
    </row>
    <row r="44" spans="1:11" ht="13.5" customHeight="1">
      <c r="A44" s="87" t="s">
        <v>330</v>
      </c>
      <c r="B44" s="116">
        <f>23812+4020-2088</f>
        <v>25744</v>
      </c>
      <c r="C44" s="116">
        <f>23521+541-2597</f>
        <v>21465</v>
      </c>
      <c r="D44" s="116">
        <f>23715-2445+634</f>
        <v>21904</v>
      </c>
      <c r="F44" s="201"/>
      <c r="G44" s="159"/>
    </row>
    <row r="45" spans="1:11" ht="13.5" customHeight="1">
      <c r="A45" s="82" t="s">
        <v>70</v>
      </c>
      <c r="B45" s="113">
        <f>B16</f>
        <v>2088</v>
      </c>
      <c r="C45" s="113">
        <f>C16</f>
        <v>2597</v>
      </c>
      <c r="D45" s="113">
        <f>D16</f>
        <v>2445</v>
      </c>
      <c r="F45" s="201"/>
      <c r="G45" s="159"/>
    </row>
    <row r="46" spans="1:11" ht="13.5" customHeight="1">
      <c r="A46" s="93" t="s">
        <v>124</v>
      </c>
      <c r="B46" s="126">
        <f>B42+B43+B44+B45</f>
        <v>90118</v>
      </c>
      <c r="C46" s="126">
        <f>C42+C43+C44+C45</f>
        <v>77939</v>
      </c>
      <c r="D46" s="126">
        <f>D42+D43+D44+D45</f>
        <v>77605</v>
      </c>
    </row>
    <row r="47" spans="1:11" ht="13.5" customHeight="1">
      <c r="A47" s="94"/>
      <c r="B47" s="128"/>
      <c r="C47" s="128"/>
      <c r="D47" s="128"/>
    </row>
    <row r="48" spans="1:11" ht="13.5" customHeight="1">
      <c r="A48" s="88" t="s">
        <v>59</v>
      </c>
      <c r="B48" s="129">
        <f>B4</f>
        <v>63895</v>
      </c>
      <c r="C48" s="129">
        <f>C4+(C33-B33)</f>
        <v>58076</v>
      </c>
      <c r="D48" s="129">
        <f>D4+(D33-C33)</f>
        <v>53044</v>
      </c>
      <c r="F48" t="s">
        <v>335</v>
      </c>
      <c r="G48" s="6"/>
      <c r="H48" s="6"/>
    </row>
    <row r="49" spans="1:9" ht="13.5" customHeight="1">
      <c r="A49" s="88" t="s">
        <v>334</v>
      </c>
      <c r="B49" s="129"/>
      <c r="C49" s="129">
        <f>C35-B35+C10</f>
        <v>-1102</v>
      </c>
      <c r="D49" s="129">
        <f>D35-C35+D10</f>
        <v>3573</v>
      </c>
      <c r="F49" t="s">
        <v>336</v>
      </c>
      <c r="G49" s="6"/>
      <c r="H49" s="6"/>
    </row>
    <row r="50" spans="1:9" ht="13.5" customHeight="1">
      <c r="A50" s="95"/>
      <c r="B50" s="129"/>
      <c r="C50" s="129"/>
      <c r="D50" s="129"/>
      <c r="F50" s="130"/>
      <c r="G50" s="130"/>
      <c r="H50" s="170" t="s">
        <v>357</v>
      </c>
      <c r="I50" s="170" t="s">
        <v>357</v>
      </c>
    </row>
    <row r="51" spans="1:9" ht="18.75" customHeight="1" thickBot="1">
      <c r="A51" s="96" t="s">
        <v>337</v>
      </c>
      <c r="B51" s="177">
        <f>B30</f>
        <v>2008</v>
      </c>
      <c r="C51" s="177">
        <f>C30</f>
        <v>2009</v>
      </c>
      <c r="D51" s="177">
        <f>D30</f>
        <v>2010</v>
      </c>
      <c r="E51" s="212"/>
      <c r="F51" s="232" t="s">
        <v>361</v>
      </c>
      <c r="G51" s="169"/>
      <c r="H51" s="183">
        <f>D30+1</f>
        <v>2011</v>
      </c>
      <c r="I51" s="183">
        <f>H51+1</f>
        <v>2012</v>
      </c>
    </row>
    <row r="52" spans="1:9" ht="13.5" customHeight="1">
      <c r="A52" s="90" t="s">
        <v>362</v>
      </c>
      <c r="B52" s="196"/>
      <c r="C52" s="196"/>
      <c r="D52" s="196"/>
      <c r="E52" s="98"/>
      <c r="F52" s="201"/>
      <c r="G52" s="159"/>
      <c r="H52" s="201"/>
      <c r="I52" s="201"/>
    </row>
    <row r="53" spans="1:9" ht="13.5" customHeight="1">
      <c r="A53" s="97" t="s">
        <v>338</v>
      </c>
      <c r="B53" s="196"/>
      <c r="C53" s="196"/>
      <c r="D53" s="196"/>
      <c r="E53" s="98"/>
      <c r="F53" s="201"/>
      <c r="G53" s="159"/>
      <c r="H53" s="201"/>
      <c r="I53" s="201"/>
    </row>
    <row r="54" spans="1:9" ht="13.5" customHeight="1">
      <c r="A54" s="97" t="s">
        <v>339</v>
      </c>
      <c r="B54" s="204"/>
      <c r="C54" s="204"/>
      <c r="D54" s="204"/>
      <c r="E54" s="98"/>
      <c r="F54" s="201"/>
      <c r="G54" s="159"/>
      <c r="H54" s="202"/>
      <c r="I54" s="202"/>
    </row>
    <row r="55" spans="1:9" ht="13.5" customHeight="1">
      <c r="A55" s="97" t="s">
        <v>340</v>
      </c>
      <c r="B55" s="196"/>
      <c r="C55" s="196"/>
      <c r="D55" s="196"/>
      <c r="E55" s="98"/>
      <c r="F55" s="159"/>
      <c r="G55" s="159"/>
      <c r="H55" s="203"/>
      <c r="I55" s="203"/>
    </row>
    <row r="56" spans="1:9" ht="13.5" customHeight="1">
      <c r="A56" s="97"/>
      <c r="B56" s="131"/>
      <c r="C56" s="131"/>
      <c r="D56" s="131"/>
      <c r="E56" s="98"/>
      <c r="F56" s="159"/>
      <c r="G56" s="159"/>
      <c r="H56" s="201"/>
      <c r="I56" s="201"/>
    </row>
    <row r="57" spans="1:9" ht="13.5" customHeight="1">
      <c r="A57" s="97" t="s">
        <v>341</v>
      </c>
      <c r="B57" s="196"/>
      <c r="C57" s="196"/>
      <c r="D57" s="196"/>
      <c r="E57" s="98"/>
      <c r="F57" s="201"/>
      <c r="G57" s="159"/>
      <c r="H57" s="201"/>
      <c r="I57" s="201"/>
    </row>
    <row r="58" spans="1:9" ht="13.5" customHeight="1">
      <c r="A58" s="97" t="s">
        <v>342</v>
      </c>
      <c r="B58" s="204"/>
      <c r="C58" s="204"/>
      <c r="D58" s="204"/>
      <c r="E58" s="98"/>
      <c r="F58" s="201"/>
      <c r="G58" s="159"/>
      <c r="H58" s="202"/>
      <c r="I58" s="202"/>
    </row>
    <row r="59" spans="1:9" ht="13.5" customHeight="1">
      <c r="A59" s="97" t="s">
        <v>364</v>
      </c>
      <c r="B59" s="196"/>
      <c r="C59" s="196"/>
      <c r="D59" s="196"/>
      <c r="E59" s="98"/>
      <c r="F59" s="159"/>
      <c r="G59" s="159"/>
      <c r="H59" s="203"/>
      <c r="I59" s="203"/>
    </row>
    <row r="60" spans="1:9" ht="13.5" customHeight="1">
      <c r="A60" s="97"/>
      <c r="B60" s="131"/>
      <c r="C60" s="131"/>
      <c r="D60" s="131"/>
      <c r="E60" s="98"/>
      <c r="F60" s="159"/>
      <c r="G60" s="159"/>
      <c r="H60" s="148"/>
      <c r="I60" s="148"/>
    </row>
    <row r="61" spans="1:9" ht="13.5" customHeight="1" thickBot="1">
      <c r="A61" s="96" t="s">
        <v>344</v>
      </c>
      <c r="B61" s="133"/>
      <c r="C61" s="133"/>
      <c r="D61" s="133"/>
      <c r="E61" s="98"/>
      <c r="F61" s="159"/>
      <c r="G61" s="159"/>
      <c r="H61" s="148"/>
      <c r="I61" s="148"/>
    </row>
    <row r="62" spans="1:9" ht="13.5" customHeight="1">
      <c r="A62" s="90" t="s">
        <v>60</v>
      </c>
      <c r="B62" s="199"/>
      <c r="C62" s="199"/>
      <c r="D62" s="199"/>
      <c r="E62" s="98"/>
      <c r="F62" s="201"/>
      <c r="G62" s="159"/>
      <c r="H62" s="148"/>
      <c r="I62" s="148"/>
    </row>
    <row r="63" spans="1:9" ht="13.5" customHeight="1">
      <c r="A63" s="90" t="s">
        <v>71</v>
      </c>
      <c r="B63" s="204"/>
      <c r="C63" s="204"/>
      <c r="D63" s="204"/>
      <c r="E63" s="98"/>
      <c r="F63" s="201"/>
      <c r="G63" s="159"/>
      <c r="H63" s="148"/>
      <c r="I63" s="148"/>
    </row>
    <row r="64" spans="1:9" ht="13.5" customHeight="1">
      <c r="A64" s="90" t="s">
        <v>72</v>
      </c>
      <c r="B64" s="196"/>
      <c r="C64" s="196"/>
      <c r="D64" s="196"/>
      <c r="E64" s="98"/>
      <c r="F64" s="201"/>
      <c r="G64" s="159"/>
      <c r="H64" s="148"/>
      <c r="I64" s="148"/>
    </row>
    <row r="65" spans="1:9" ht="13.5" customHeight="1">
      <c r="A65" s="90" t="s">
        <v>345</v>
      </c>
      <c r="B65" s="199"/>
      <c r="C65" s="199"/>
      <c r="D65" s="199"/>
      <c r="E65" s="98"/>
      <c r="F65" s="98"/>
      <c r="G65" s="98"/>
      <c r="H65" s="125"/>
    </row>
    <row r="66" spans="1:9" ht="13.5" customHeight="1">
      <c r="A66" s="90" t="s">
        <v>365</v>
      </c>
      <c r="B66" s="199"/>
      <c r="C66" s="199"/>
      <c r="D66" s="199"/>
      <c r="E66" s="98"/>
      <c r="H66" s="125"/>
      <c r="I66" s="99" t="s">
        <v>366</v>
      </c>
    </row>
    <row r="67" spans="1:9" ht="13.5" customHeight="1">
      <c r="B67" s="129"/>
      <c r="C67" s="129"/>
      <c r="D67" s="129"/>
      <c r="H67" s="125"/>
    </row>
    <row r="68" spans="1:9" ht="13.5" customHeight="1" thickBot="1">
      <c r="A68" s="96" t="s">
        <v>368</v>
      </c>
      <c r="G68" s="226"/>
      <c r="H68" s="226"/>
      <c r="I68" s="227" t="s">
        <v>367</v>
      </c>
    </row>
    <row r="69" spans="1:9" ht="13.5" customHeight="1">
      <c r="A69" s="90" t="s">
        <v>347</v>
      </c>
      <c r="B69" s="199"/>
      <c r="C69" s="199"/>
      <c r="D69" s="199"/>
    </row>
    <row r="70" spans="1:9" ht="13.5" customHeight="1">
      <c r="A70" s="90" t="s">
        <v>346</v>
      </c>
      <c r="B70" s="199"/>
      <c r="C70" s="199"/>
      <c r="D70" s="199"/>
    </row>
    <row r="71" spans="1:9" ht="13.5" customHeight="1">
      <c r="A71" s="90" t="s">
        <v>348</v>
      </c>
      <c r="B71" s="199"/>
      <c r="C71" s="199"/>
      <c r="D71" s="199"/>
    </row>
    <row r="72" spans="1:9" ht="13.5" customHeight="1">
      <c r="A72" s="90" t="s">
        <v>349</v>
      </c>
      <c r="B72" s="205"/>
      <c r="C72" s="205"/>
      <c r="D72" s="205"/>
      <c r="H72" s="230">
        <v>0.25</v>
      </c>
      <c r="I72" s="230">
        <v>0.25</v>
      </c>
    </row>
    <row r="73" spans="1:9" ht="13.5" customHeight="1">
      <c r="A73" s="90" t="s">
        <v>369</v>
      </c>
      <c r="B73" s="206"/>
      <c r="C73" s="206"/>
      <c r="D73" s="206"/>
    </row>
    <row r="74" spans="1:9" ht="13.5" customHeight="1">
      <c r="A74" s="88" t="s">
        <v>370</v>
      </c>
      <c r="B74" s="206"/>
      <c r="C74" s="206"/>
      <c r="D74" s="206"/>
      <c r="H74" s="207"/>
      <c r="I74" s="207"/>
    </row>
    <row r="75" spans="1:9" ht="13.5" customHeight="1">
      <c r="B75" s="136"/>
      <c r="C75" s="136"/>
      <c r="D75" s="136"/>
    </row>
    <row r="76" spans="1:9" ht="13.5" customHeight="1">
      <c r="A76" s="95"/>
      <c r="B76" s="129"/>
      <c r="D76" s="129"/>
    </row>
    <row r="77" spans="1:9" ht="13.5" customHeight="1">
      <c r="A77" s="95"/>
      <c r="B77" s="167"/>
      <c r="C77" s="167"/>
      <c r="D77" s="167"/>
    </row>
    <row r="78" spans="1:9" ht="13.5" customHeight="1">
      <c r="A78" s="95"/>
    </row>
    <row r="79" spans="1:9" ht="13.5" customHeight="1">
      <c r="A79" s="95"/>
      <c r="B79" s="137"/>
      <c r="C79" s="138"/>
      <c r="D79" s="138"/>
    </row>
    <row r="80" spans="1:9" ht="13.5" customHeight="1">
      <c r="A80" s="95"/>
      <c r="B80" s="139"/>
      <c r="C80" s="139"/>
      <c r="D80" s="139"/>
    </row>
    <row r="81" spans="1:4" ht="13.5" customHeight="1">
      <c r="A81" s="95"/>
      <c r="B81" s="139"/>
      <c r="C81" s="139"/>
      <c r="D81" s="139"/>
    </row>
    <row r="82" spans="1:4" ht="13.5" customHeight="1">
      <c r="A82" s="95"/>
      <c r="B82" s="140"/>
      <c r="C82" s="140"/>
      <c r="D82" s="140"/>
    </row>
    <row r="83" spans="1:4" ht="13.5" customHeight="1">
      <c r="A83" s="95"/>
      <c r="B83" s="110"/>
      <c r="C83" s="139"/>
      <c r="D83" s="139"/>
    </row>
    <row r="84" spans="1:4" ht="13.5" customHeight="1">
      <c r="B84" s="110"/>
      <c r="C84" s="141"/>
      <c r="D84" s="141"/>
    </row>
    <row r="85" spans="1:4" ht="13.5" customHeight="1">
      <c r="B85" s="139"/>
      <c r="C85" s="141"/>
      <c r="D85" s="141"/>
    </row>
    <row r="86" spans="1:4" ht="13.5" customHeight="1">
      <c r="B86" s="139"/>
      <c r="C86" s="141"/>
      <c r="D86" s="141"/>
    </row>
    <row r="87" spans="1:4" ht="13.5" customHeight="1">
      <c r="A87" s="95"/>
      <c r="B87" s="139"/>
      <c r="C87" s="141"/>
      <c r="D87" s="141"/>
    </row>
    <row r="88" spans="1:4" ht="13.5" customHeight="1">
      <c r="B88" s="142"/>
      <c r="C88" s="143"/>
      <c r="D88" s="143"/>
    </row>
    <row r="89" spans="1:4" ht="13.5" customHeight="1">
      <c r="B89" s="142"/>
      <c r="C89" s="143"/>
      <c r="D89" s="143"/>
    </row>
    <row r="90" spans="1:4" ht="13.5" customHeight="1">
      <c r="A90" s="95"/>
    </row>
    <row r="92" spans="1:4" ht="13.5" customHeight="1">
      <c r="A92" s="95"/>
      <c r="B92" s="127"/>
      <c r="C92" s="127"/>
      <c r="D92" s="127"/>
    </row>
    <row r="93" spans="1:4" ht="13.5" customHeight="1">
      <c r="A93" s="95"/>
      <c r="B93" s="127"/>
      <c r="C93" s="127"/>
      <c r="D93" s="127"/>
    </row>
    <row r="94" spans="1:4" ht="13.5" customHeight="1">
      <c r="B94" s="127"/>
      <c r="C94" s="127"/>
      <c r="D94" s="127"/>
    </row>
    <row r="95" spans="1:4" ht="13.5" customHeight="1">
      <c r="B95" s="127"/>
      <c r="C95" s="127"/>
      <c r="D95" s="127"/>
    </row>
    <row r="96" spans="1:4" ht="13.5" customHeight="1">
      <c r="B96" s="127"/>
      <c r="C96" s="127"/>
      <c r="D96" s="127"/>
    </row>
    <row r="97" spans="1:4" ht="13.5" customHeight="1">
      <c r="A97" s="95"/>
      <c r="B97" s="127"/>
      <c r="C97" s="127"/>
      <c r="D97" s="127"/>
    </row>
    <row r="98" spans="1:4" ht="13.5" customHeight="1">
      <c r="B98" s="127"/>
      <c r="C98" s="127"/>
      <c r="D98" s="127"/>
    </row>
    <row r="99" spans="1:4" ht="13.5" customHeight="1">
      <c r="B99" s="127"/>
      <c r="C99" s="127"/>
      <c r="D99" s="127"/>
    </row>
    <row r="100" spans="1:4" ht="13.5" customHeight="1">
      <c r="B100" s="127"/>
      <c r="C100" s="127"/>
      <c r="D100" s="127"/>
    </row>
    <row r="101" spans="1:4" ht="13.5" customHeight="1">
      <c r="A101" s="144"/>
      <c r="B101" s="127"/>
      <c r="C101" s="127"/>
      <c r="D101" s="127"/>
    </row>
    <row r="102" spans="1:4" ht="13.5" customHeight="1">
      <c r="B102" s="127"/>
      <c r="C102" s="127"/>
      <c r="D102" s="127"/>
    </row>
    <row r="103" spans="1:4" ht="13.5" customHeight="1">
      <c r="B103" s="127"/>
      <c r="C103" s="127"/>
      <c r="D103" s="127"/>
    </row>
    <row r="104" spans="1:4" ht="13.5" customHeight="1">
      <c r="A104" s="95"/>
    </row>
    <row r="105" spans="1:4" ht="13.5" customHeight="1">
      <c r="B105" s="110"/>
      <c r="C105" s="110"/>
      <c r="D105" s="110"/>
    </row>
    <row r="106" spans="1:4" ht="13.5" customHeight="1">
      <c r="B106" s="110"/>
      <c r="C106" s="110"/>
      <c r="D106" s="110"/>
    </row>
    <row r="107" spans="1:4" ht="13.5" customHeight="1">
      <c r="A107" s="95"/>
      <c r="B107" s="110"/>
      <c r="C107" s="110"/>
      <c r="D107" s="110"/>
    </row>
    <row r="108" spans="1:4" ht="13.5" customHeight="1">
      <c r="B108" s="110"/>
      <c r="C108" s="110"/>
      <c r="D108" s="110"/>
    </row>
    <row r="109" spans="1:4" ht="13.5" customHeight="1">
      <c r="A109" s="95"/>
      <c r="B109" s="110"/>
      <c r="C109" s="110"/>
      <c r="D109" s="110"/>
    </row>
    <row r="110" spans="1:4" ht="13.5" customHeight="1">
      <c r="A110" s="95"/>
      <c r="B110" s="110"/>
      <c r="C110" s="110"/>
      <c r="D110" s="110"/>
    </row>
    <row r="111" spans="1:4" ht="13.5" customHeight="1">
      <c r="A111" s="95"/>
      <c r="B111" s="110"/>
      <c r="C111" s="110"/>
      <c r="D111" s="110"/>
    </row>
    <row r="112" spans="1:4" ht="13.5" customHeight="1">
      <c r="B112" s="110"/>
      <c r="C112" s="110"/>
      <c r="D112" s="110"/>
    </row>
    <row r="113" spans="1:4" ht="13.5" customHeight="1">
      <c r="B113" s="110"/>
      <c r="C113" s="110"/>
      <c r="D113" s="110"/>
    </row>
    <row r="114" spans="1:4" ht="13.5" customHeight="1">
      <c r="B114" s="110"/>
      <c r="C114" s="110"/>
      <c r="D114" s="110"/>
    </row>
    <row r="115" spans="1:4" ht="13.5" customHeight="1">
      <c r="A115" s="95"/>
      <c r="B115" s="110"/>
      <c r="C115" s="110"/>
      <c r="D115" s="110"/>
    </row>
    <row r="116" spans="1:4" ht="13.5" customHeight="1">
      <c r="B116" s="110"/>
      <c r="C116" s="110"/>
      <c r="D116" s="110"/>
    </row>
    <row r="117" spans="1:4" ht="13.5" customHeight="1">
      <c r="B117" s="110"/>
      <c r="C117" s="110"/>
      <c r="D117" s="110"/>
    </row>
    <row r="118" spans="1:4" ht="13.5" customHeight="1">
      <c r="B118" s="124"/>
      <c r="C118" s="124"/>
      <c r="D118" s="128"/>
    </row>
    <row r="119" spans="1:4" ht="13.5" customHeight="1">
      <c r="B119" s="124"/>
      <c r="C119" s="124"/>
      <c r="D119" s="128"/>
    </row>
    <row r="120" spans="1:4" ht="13.5" customHeight="1">
      <c r="A120" s="95"/>
      <c r="B120" s="124"/>
      <c r="C120" s="124"/>
      <c r="D120" s="124"/>
    </row>
    <row r="122" spans="1:4" ht="13.5" customHeight="1">
      <c r="A122" s="95"/>
      <c r="B122" s="145"/>
      <c r="C122" s="145"/>
      <c r="D122" s="145"/>
    </row>
    <row r="123" spans="1:4" ht="13.5" customHeight="1">
      <c r="A123" s="110"/>
      <c r="B123" s="145"/>
      <c r="C123" s="145"/>
      <c r="D123" s="145"/>
    </row>
    <row r="124" spans="1:4" ht="13.5" customHeight="1">
      <c r="A124" s="110"/>
      <c r="B124" s="145"/>
      <c r="C124" s="145"/>
      <c r="D124" s="145"/>
    </row>
    <row r="125" spans="1:4" ht="13.5" customHeight="1">
      <c r="B125" s="145"/>
      <c r="C125" s="146"/>
      <c r="D125" s="146"/>
    </row>
    <row r="126" spans="1:4" ht="13.5" customHeight="1">
      <c r="B126" s="145"/>
      <c r="C126" s="146"/>
      <c r="D126" s="146"/>
    </row>
    <row r="127" spans="1:4" ht="13.5" customHeight="1">
      <c r="A127" s="95"/>
      <c r="C127" s="124"/>
      <c r="D127" s="124"/>
    </row>
    <row r="128" spans="1:4" ht="13.5" customHeight="1">
      <c r="C128" s="124"/>
      <c r="D128" s="124"/>
    </row>
    <row r="132" spans="2:4" ht="13.5" customHeight="1">
      <c r="B132" s="110"/>
      <c r="C132" s="110"/>
      <c r="D132" s="110"/>
    </row>
    <row r="133" spans="2:4" ht="13.5" customHeight="1">
      <c r="B133" s="110"/>
      <c r="C133" s="110"/>
      <c r="D133" s="110"/>
    </row>
    <row r="134" spans="2:4" ht="13.5" customHeight="1">
      <c r="B134" s="110"/>
      <c r="C134" s="110"/>
      <c r="D134" s="110"/>
    </row>
    <row r="135" spans="2:4" ht="13.5" customHeight="1">
      <c r="B135" s="110"/>
      <c r="C135" s="110"/>
      <c r="D135" s="110"/>
    </row>
    <row r="137" spans="2:4" ht="13.5" customHeight="1">
      <c r="B137" s="110"/>
      <c r="C137" s="110"/>
      <c r="D137" s="110"/>
    </row>
    <row r="138" spans="2:4" ht="13.5" customHeight="1">
      <c r="B138" s="110"/>
      <c r="C138" s="110"/>
      <c r="D138" s="110"/>
    </row>
    <row r="140" spans="2:4" ht="13.5" customHeight="1">
      <c r="B140" s="110"/>
      <c r="C140" s="110"/>
      <c r="D140" s="110"/>
    </row>
    <row r="141" spans="2:4" ht="13.5" customHeight="1">
      <c r="B141" s="110"/>
      <c r="C141" s="110"/>
      <c r="D141" s="110"/>
    </row>
    <row r="142" spans="2:4" ht="13.5" customHeight="1">
      <c r="B142" s="110"/>
      <c r="C142" s="110"/>
      <c r="D142" s="110"/>
    </row>
    <row r="144" spans="2:4" ht="13.5" customHeight="1">
      <c r="B144" s="110"/>
      <c r="C144" s="110"/>
      <c r="D144" s="110"/>
    </row>
    <row r="145" spans="2:4" ht="13.5" customHeight="1">
      <c r="B145" s="110"/>
      <c r="C145" s="110"/>
      <c r="D145" s="110"/>
    </row>
    <row r="146" spans="2:4" ht="13.5" customHeight="1">
      <c r="B146" s="110"/>
      <c r="C146" s="110"/>
      <c r="D146" s="110"/>
    </row>
    <row r="147" spans="2:4" ht="13.5" customHeight="1">
      <c r="B147" s="110"/>
      <c r="C147" s="110"/>
      <c r="D147" s="110"/>
    </row>
  </sheetData>
  <printOptions gridLinesSet="0"/>
  <pageMargins left="0.66" right="0.32" top="0.62" bottom="0.59" header="0.5" footer="0.5"/>
  <pageSetup paperSize="9" scale="96" orientation="portrait" horizontalDpi="4294967292" verticalDpi="4294967292" r:id="rId1"/>
  <headerFooter alignWithMargins="0"/>
  <rowBreaks count="2" manualBreakCount="2">
    <brk id="28" max="7" man="1"/>
    <brk id="7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</vt:i4>
      </vt:variant>
    </vt:vector>
  </HeadingPairs>
  <TitlesOfParts>
    <vt:vector size="20" baseType="lpstr">
      <vt:lpstr>Exh1 Eng</vt:lpstr>
      <vt:lpstr>Exh2 Eng</vt:lpstr>
      <vt:lpstr>Exh2 Eng TO DO</vt:lpstr>
      <vt:lpstr>Anex1 Esp</vt:lpstr>
      <vt:lpstr>Anex2 Esp</vt:lpstr>
      <vt:lpstr>Anex2 Esp HACER</vt:lpstr>
      <vt:lpstr>Anex1 Port</vt:lpstr>
      <vt:lpstr>Anex2 Port</vt:lpstr>
      <vt:lpstr>Anex2 Port FAZER</vt:lpstr>
      <vt:lpstr>Planilha4</vt:lpstr>
      <vt:lpstr>Planilha1</vt:lpstr>
      <vt:lpstr>'Anex1 Esp'!Area_de_impressao</vt:lpstr>
      <vt:lpstr>'Anex1 Port'!Area_de_impressao</vt:lpstr>
      <vt:lpstr>'Anex2 Esp'!Area_de_impressao</vt:lpstr>
      <vt:lpstr>'Anex2 Esp HACER'!Area_de_impressao</vt:lpstr>
      <vt:lpstr>'Anex2 Port'!Area_de_impressao</vt:lpstr>
      <vt:lpstr>'Anex2 Port FAZER'!Area_de_impressao</vt:lpstr>
      <vt:lpstr>'Exh1 Eng'!Area_de_impressao</vt:lpstr>
      <vt:lpstr>'Exh2 Eng'!Area_de_impressao</vt:lpstr>
      <vt:lpstr>'Exh2 Eng TO DO'!Area_de_impressao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MARTINEZ-ABASCAL, Eduardo</dc:creator>
  <cp:lastModifiedBy>Oscar Simões</cp:lastModifiedBy>
  <cp:lastPrinted>2019-04-05T23:22:45Z</cp:lastPrinted>
  <dcterms:created xsi:type="dcterms:W3CDTF">2004-05-08T10:13:57Z</dcterms:created>
  <dcterms:modified xsi:type="dcterms:W3CDTF">2019-04-05T23:22:45Z</dcterms:modified>
</cp:coreProperties>
</file>