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firstSheet="1" activeTab="1"/>
  </bookViews>
  <sheets>
    <sheet name="Valuation-Residual - Developm" sheetId="1" r:id="rId1"/>
    <sheet name="Valuation-Residual" sheetId="2" r:id="rId2"/>
    <sheet name="Valuation-DCF" sheetId="3" r:id="rId3"/>
  </sheets>
  <definedNames>
    <definedName name="_xlnm.Print_Area" localSheetId="2">'Valuation-DCF'!$A$1:$J$59</definedName>
    <definedName name="_xlnm.Print_Area" localSheetId="1">'Valuation-Residual'!$A$1:$G$59</definedName>
    <definedName name="_xlnm.Print_Area" localSheetId="0">'Valuation-Residual - Developm'!$A$1:$G$56</definedName>
  </definedNames>
  <calcPr fullCalcOnLoad="1"/>
</workbook>
</file>

<file path=xl/sharedStrings.xml><?xml version="1.0" encoding="utf-8"?>
<sst xmlns="http://schemas.openxmlformats.org/spreadsheetml/2006/main" count="146" uniqueCount="78">
  <si>
    <t>Agents Fees</t>
  </si>
  <si>
    <t>Legal Fees</t>
  </si>
  <si>
    <t>Assumptions</t>
  </si>
  <si>
    <t>Development costs</t>
  </si>
  <si>
    <t>Developer's profit</t>
  </si>
  <si>
    <t>Present Value</t>
  </si>
  <si>
    <t>YP in perp @</t>
  </si>
  <si>
    <t>Land Cost</t>
  </si>
  <si>
    <t>Contingency</t>
  </si>
  <si>
    <t>Build Cost</t>
  </si>
  <si>
    <t>Interest on Acquisition costs per month</t>
  </si>
  <si>
    <t>Professional Fees</t>
  </si>
  <si>
    <t>Interest on build Costs per month</t>
  </si>
  <si>
    <t>Construction period in months</t>
  </si>
  <si>
    <t>Demolition &amp; site clearance</t>
  </si>
  <si>
    <t>Planning Application Fees</t>
  </si>
  <si>
    <t>Letting Costs</t>
  </si>
  <si>
    <t>Total Development Cost</t>
  </si>
  <si>
    <t>Discount Rate per annum</t>
  </si>
  <si>
    <t>Flood protection + Decontamination</t>
  </si>
  <si>
    <t>Contributions</t>
  </si>
  <si>
    <t>Cost of advertising, brochures, etc</t>
  </si>
  <si>
    <t>VALUATION</t>
  </si>
  <si>
    <t>Value when completed</t>
  </si>
  <si>
    <t>Total Rental Value</t>
  </si>
  <si>
    <t>Gross Floor Area (m2)</t>
  </si>
  <si>
    <t>Build Cost (per m2)</t>
  </si>
  <si>
    <t>Services, roads and landscaping</t>
  </si>
  <si>
    <t>Size (m2)</t>
  </si>
  <si>
    <t>Average Rental</t>
  </si>
  <si>
    <t>Less Agents Fees @</t>
  </si>
  <si>
    <t>Less Legal Fees @</t>
  </si>
  <si>
    <t>=</t>
  </si>
  <si>
    <t>Costs of aquisition</t>
  </si>
  <si>
    <t>Office</t>
  </si>
  <si>
    <t>2 years</t>
  </si>
  <si>
    <t>Rounded</t>
  </si>
  <si>
    <t>Discount period</t>
  </si>
  <si>
    <t>MARA TOWER IN NAIROBI KENYA</t>
  </si>
  <si>
    <t>Year 1</t>
  </si>
  <si>
    <t>Year 2</t>
  </si>
  <si>
    <t>Year 3</t>
  </si>
  <si>
    <t>Year 0</t>
  </si>
  <si>
    <t>ABRIDGED BALANCE SHEET</t>
  </si>
  <si>
    <t>E  Equity</t>
  </si>
  <si>
    <t>Financing</t>
  </si>
  <si>
    <t>for perpetuity</t>
  </si>
  <si>
    <t>K=</t>
  </si>
  <si>
    <t>- Variation of Net Assets</t>
  </si>
  <si>
    <t>g=</t>
  </si>
  <si>
    <t>Offices</t>
  </si>
  <si>
    <t>Average rental</t>
  </si>
  <si>
    <t>Size</t>
  </si>
  <si>
    <t>INCOME STATEMENT</t>
  </si>
  <si>
    <t>Agent Fees</t>
  </si>
  <si>
    <t>Net Working Capital</t>
  </si>
  <si>
    <t>Building (incl. Land)</t>
  </si>
  <si>
    <t>Net Assets</t>
  </si>
  <si>
    <t>D  Debt long term</t>
  </si>
  <si>
    <t>Cash Flows</t>
  </si>
  <si>
    <t>Net Operating Income (NOI)</t>
  </si>
  <si>
    <t xml:space="preserve">     NPV project (total)</t>
  </si>
  <si>
    <t>CFs (total)</t>
  </si>
  <si>
    <t>VALUATION. RESIDUAL METHOD</t>
  </si>
  <si>
    <t>DEVELOPMENT PROJECT</t>
  </si>
  <si>
    <t>=Yields rent</t>
  </si>
  <si>
    <t>=Growth rent</t>
  </si>
  <si>
    <t>…</t>
  </si>
  <si>
    <t>1.- Value when completed</t>
  </si>
  <si>
    <t>2.- Development costs</t>
  </si>
  <si>
    <t>3.- Developer's profit</t>
  </si>
  <si>
    <t>4.- Present Value</t>
  </si>
  <si>
    <t>BUILD COST</t>
  </si>
  <si>
    <t>LETTING COSTS</t>
  </si>
  <si>
    <t>Total value</t>
  </si>
  <si>
    <t>Constant after year 3</t>
  </si>
  <si>
    <t>Valuation. DCF Method</t>
  </si>
  <si>
    <t>Valuation. Residual Method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</si>
</sst>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"/>
    <numFmt numFmtId="181" formatCode="&quot;£&quot;#,##0.00"/>
    <numFmt numFmtId="182" formatCode="#,##0.00;[Red]\(#,##0.00\)"/>
    <numFmt numFmtId="183" formatCode="#,##0.00;[Red]\(#,##0.0\)"/>
    <numFmt numFmtId="184" formatCode="#,##0.00;[Red]\(#,###\)"/>
    <numFmt numFmtId="185" formatCode="&quot;£&quot;#,##0.00;[Red]\(&quot;£&quot;#,###\)"/>
    <numFmt numFmtId="186" formatCode="&quot;£&quot;#,##0;[Red]\(&quot;£&quot;#,###\)"/>
    <numFmt numFmtId="187" formatCode="0.0%"/>
    <numFmt numFmtId="188" formatCode="#,##0.00;[Red]#,##0.00"/>
    <numFmt numFmtId="189" formatCode="#,##0.00\ &quot;€&quot;"/>
    <numFmt numFmtId="190" formatCode="[$$-409]#,##0.00"/>
    <numFmt numFmtId="191" formatCode="[$$-409]#,##0.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00"/>
    <numFmt numFmtId="200" formatCode="[$$-409]#,##0.0"/>
    <numFmt numFmtId="201" formatCode="[$$-409]#,##0"/>
    <numFmt numFmtId="202" formatCode="_-[$$-409]* #,##0.00_ ;_-[$$-409]* \-#,##0.00\ ;_-[$$-409]* &quot;-&quot;??_ ;_-@_ "/>
    <numFmt numFmtId="203" formatCode="_-[$$-409]* #,##0.0_ ;_-[$$-409]* \-#,##0.0\ ;_-[$$-409]* &quot;-&quot;??_ ;_-@_ "/>
    <numFmt numFmtId="204" formatCode="_-[$$-409]* #,##0_ ;_-[$$-409]* \-#,##0\ ;_-[$$-409]* &quot;-&quot;??_ ;_-@_ "/>
    <numFmt numFmtId="205" formatCode="[$$-409]#,##0_ ;\-[$$-409]#,##0\ "/>
    <numFmt numFmtId="206" formatCode="[$$-409]#,##0.00_ ;\-[$$-409]#,##0.00\ "/>
    <numFmt numFmtId="207" formatCode="[$$-409]#,##0.0_ ;\-[$$-409]#,##0.0\ "/>
    <numFmt numFmtId="208" formatCode="#,##0.0"/>
    <numFmt numFmtId="209" formatCode="0.000%"/>
    <numFmt numFmtId="210" formatCode="0.0000%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85" fontId="5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90" fontId="1" fillId="0" borderId="0" xfId="0" applyNumberFormat="1" applyFont="1" applyFill="1" applyAlignment="1">
      <alignment/>
    </xf>
    <xf numFmtId="190" fontId="1" fillId="0" borderId="0" xfId="0" applyNumberFormat="1" applyFont="1" applyFill="1" applyAlignment="1">
      <alignment horizontal="right"/>
    </xf>
    <xf numFmtId="190" fontId="1" fillId="0" borderId="10" xfId="0" applyNumberFormat="1" applyFont="1" applyFill="1" applyBorder="1" applyAlignment="1">
      <alignment/>
    </xf>
    <xf numFmtId="190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97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201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01" fontId="1" fillId="0" borderId="0" xfId="0" applyNumberFormat="1" applyFont="1" applyFill="1" applyAlignment="1">
      <alignment/>
    </xf>
    <xf numFmtId="201" fontId="1" fillId="0" borderId="0" xfId="0" applyNumberFormat="1" applyFont="1" applyFill="1" applyBorder="1" applyAlignment="1">
      <alignment/>
    </xf>
    <xf numFmtId="201" fontId="10" fillId="0" borderId="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201" fontId="9" fillId="0" borderId="0" xfId="0" applyNumberFormat="1" applyFont="1" applyFill="1" applyBorder="1" applyAlignment="1">
      <alignment/>
    </xf>
    <xf numFmtId="201" fontId="1" fillId="0" borderId="11" xfId="0" applyNumberFormat="1" applyFont="1" applyFill="1" applyBorder="1" applyAlignment="1">
      <alignment/>
    </xf>
    <xf numFmtId="201" fontId="1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0" xfId="59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5" fontId="1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190" fontId="10" fillId="0" borderId="12" xfId="0" applyNumberFormat="1" applyFont="1" applyFill="1" applyBorder="1" applyAlignment="1">
      <alignment horizontal="right"/>
    </xf>
    <xf numFmtId="190" fontId="1" fillId="0" borderId="12" xfId="0" applyNumberFormat="1" applyFont="1" applyFill="1" applyBorder="1" applyAlignment="1">
      <alignment horizontal="right"/>
    </xf>
    <xf numFmtId="190" fontId="10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187" fontId="1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201" fontId="9" fillId="33" borderId="13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Fill="1" applyBorder="1" applyAlignment="1">
      <alignment/>
    </xf>
    <xf numFmtId="3" fontId="13" fillId="34" borderId="1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49" fontId="32" fillId="0" borderId="0" xfId="0" applyNumberFormat="1" applyFont="1" applyBorder="1" applyAlignment="1">
      <alignment wrapText="1"/>
    </xf>
    <xf numFmtId="0" fontId="34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right"/>
    </xf>
    <xf numFmtId="201" fontId="32" fillId="0" borderId="13" xfId="0" applyNumberFormat="1" applyFont="1" applyFill="1" applyBorder="1" applyAlignment="1">
      <alignment/>
    </xf>
    <xf numFmtId="190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horizontal="right"/>
    </xf>
    <xf numFmtId="201" fontId="32" fillId="0" borderId="0" xfId="0" applyNumberFormat="1" applyFont="1" applyFill="1" applyAlignment="1">
      <alignment/>
    </xf>
    <xf numFmtId="187" fontId="32" fillId="0" borderId="0" xfId="0" applyNumberFormat="1" applyFont="1" applyFill="1" applyAlignment="1">
      <alignment horizontal="right"/>
    </xf>
    <xf numFmtId="197" fontId="32" fillId="0" borderId="0" xfId="0" applyNumberFormat="1" applyFont="1" applyFill="1" applyAlignment="1">
      <alignment horizontal="right"/>
    </xf>
    <xf numFmtId="190" fontId="32" fillId="0" borderId="0" xfId="0" applyNumberFormat="1" applyFont="1" applyFill="1" applyBorder="1" applyAlignment="1">
      <alignment/>
    </xf>
    <xf numFmtId="201" fontId="32" fillId="0" borderId="0" xfId="0" applyNumberFormat="1" applyFont="1" applyFill="1" applyBorder="1" applyAlignment="1">
      <alignment/>
    </xf>
    <xf numFmtId="187" fontId="32" fillId="0" borderId="0" xfId="0" applyNumberFormat="1" applyFont="1" applyFill="1" applyAlignment="1">
      <alignment/>
    </xf>
    <xf numFmtId="49" fontId="35" fillId="0" borderId="0" xfId="0" applyNumberFormat="1" applyFont="1" applyFill="1" applyBorder="1" applyAlignment="1">
      <alignment wrapText="1"/>
    </xf>
    <xf numFmtId="190" fontId="32" fillId="0" borderId="13" xfId="0" applyNumberFormat="1" applyFont="1" applyFill="1" applyBorder="1" applyAlignment="1">
      <alignment horizontal="right"/>
    </xf>
    <xf numFmtId="190" fontId="32" fillId="0" borderId="13" xfId="0" applyNumberFormat="1" applyFont="1" applyFill="1" applyBorder="1" applyAlignment="1">
      <alignment/>
    </xf>
    <xf numFmtId="201" fontId="13" fillId="0" borderId="13" xfId="0" applyNumberFormat="1" applyFont="1" applyFill="1" applyBorder="1" applyAlignment="1">
      <alignment/>
    </xf>
    <xf numFmtId="180" fontId="13" fillId="0" borderId="0" xfId="0" applyNumberFormat="1" applyFont="1" applyFill="1" applyAlignment="1">
      <alignment/>
    </xf>
    <xf numFmtId="190" fontId="32" fillId="0" borderId="0" xfId="0" applyNumberFormat="1" applyFont="1" applyFill="1" applyBorder="1" applyAlignment="1">
      <alignment horizontal="right"/>
    </xf>
    <xf numFmtId="201" fontId="13" fillId="0" borderId="0" xfId="0" applyNumberFormat="1" applyFont="1" applyFill="1" applyBorder="1" applyAlignment="1">
      <alignment/>
    </xf>
    <xf numFmtId="9" fontId="32" fillId="0" borderId="0" xfId="59" applyNumberFormat="1" applyFont="1" applyFill="1" applyBorder="1" applyAlignment="1">
      <alignment/>
    </xf>
    <xf numFmtId="185" fontId="32" fillId="0" borderId="0" xfId="0" applyNumberFormat="1" applyFont="1" applyFill="1" applyBorder="1" applyAlignment="1">
      <alignment/>
    </xf>
    <xf numFmtId="10" fontId="32" fillId="0" borderId="0" xfId="0" applyNumberFormat="1" applyFont="1" applyFill="1" applyBorder="1" applyAlignment="1">
      <alignment/>
    </xf>
    <xf numFmtId="49" fontId="36" fillId="0" borderId="0" xfId="0" applyNumberFormat="1" applyFont="1" applyFill="1" applyBorder="1" applyAlignment="1">
      <alignment wrapText="1"/>
    </xf>
    <xf numFmtId="185" fontId="32" fillId="0" borderId="13" xfId="0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201" fontId="32" fillId="0" borderId="15" xfId="0" applyNumberFormat="1" applyFont="1" applyFill="1" applyBorder="1" applyAlignment="1">
      <alignment/>
    </xf>
    <xf numFmtId="190" fontId="32" fillId="0" borderId="15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49" fontId="32" fillId="0" borderId="0" xfId="0" applyNumberFormat="1" applyFont="1" applyFill="1" applyBorder="1" applyAlignment="1">
      <alignment wrapText="1"/>
    </xf>
    <xf numFmtId="201" fontId="34" fillId="0" borderId="0" xfId="0" applyNumberFormat="1" applyFont="1" applyFill="1" applyBorder="1" applyAlignment="1">
      <alignment/>
    </xf>
    <xf numFmtId="185" fontId="34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10" fontId="32" fillId="0" borderId="15" xfId="0" applyNumberFormat="1" applyFont="1" applyFill="1" applyBorder="1" applyAlignment="1">
      <alignment/>
    </xf>
    <xf numFmtId="185" fontId="32" fillId="0" borderId="15" xfId="0" applyNumberFormat="1" applyFont="1" applyFill="1" applyBorder="1" applyAlignment="1">
      <alignment/>
    </xf>
    <xf numFmtId="0" fontId="13" fillId="0" borderId="13" xfId="0" applyFont="1" applyFill="1" applyBorder="1" applyAlignment="1">
      <alignment/>
    </xf>
    <xf numFmtId="185" fontId="13" fillId="0" borderId="0" xfId="0" applyNumberFormat="1" applyFont="1" applyFill="1" applyBorder="1" applyAlignment="1">
      <alignment/>
    </xf>
    <xf numFmtId="190" fontId="32" fillId="0" borderId="0" xfId="0" applyNumberFormat="1" applyFont="1" applyFill="1" applyAlignment="1">
      <alignment horizontal="right"/>
    </xf>
    <xf numFmtId="186" fontId="13" fillId="0" borderId="0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201" fontId="32" fillId="0" borderId="1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right"/>
    </xf>
    <xf numFmtId="195" fontId="32" fillId="0" borderId="0" xfId="0" applyNumberFormat="1" applyFont="1" applyFill="1" applyBorder="1" applyAlignment="1">
      <alignment horizontal="right"/>
    </xf>
    <xf numFmtId="201" fontId="13" fillId="0" borderId="0" xfId="0" applyNumberFormat="1" applyFont="1" applyFill="1" applyAlignment="1">
      <alignment/>
    </xf>
    <xf numFmtId="186" fontId="13" fillId="0" borderId="0" xfId="0" applyNumberFormat="1" applyFont="1" applyFill="1" applyAlignment="1">
      <alignment/>
    </xf>
    <xf numFmtId="167" fontId="32" fillId="0" borderId="0" xfId="0" applyNumberFormat="1" applyFont="1" applyFill="1" applyBorder="1" applyAlignment="1">
      <alignment/>
    </xf>
    <xf numFmtId="190" fontId="34" fillId="0" borderId="13" xfId="0" applyNumberFormat="1" applyFont="1" applyFill="1" applyBorder="1" applyAlignment="1">
      <alignment horizontal="left"/>
    </xf>
    <xf numFmtId="201" fontId="13" fillId="33" borderId="13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175" fontId="32" fillId="0" borderId="0" xfId="0" applyNumberFormat="1" applyFont="1" applyFill="1" applyAlignment="1">
      <alignment/>
    </xf>
    <xf numFmtId="10" fontId="32" fillId="0" borderId="0" xfId="0" applyNumberFormat="1" applyFont="1" applyAlignment="1">
      <alignment/>
    </xf>
    <xf numFmtId="186" fontId="32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13" fillId="33" borderId="0" xfId="0" applyFont="1" applyFill="1" applyAlignment="1">
      <alignment/>
    </xf>
    <xf numFmtId="0" fontId="32" fillId="33" borderId="0" xfId="0" applyFont="1" applyFill="1" applyAlignment="1">
      <alignment/>
    </xf>
    <xf numFmtId="3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horizontal="right"/>
    </xf>
    <xf numFmtId="0" fontId="33" fillId="33" borderId="0" xfId="0" applyFont="1" applyFill="1" applyAlignment="1">
      <alignment/>
    </xf>
    <xf numFmtId="3" fontId="13" fillId="33" borderId="0" xfId="0" applyNumberFormat="1" applyFont="1" applyFill="1" applyAlignment="1">
      <alignment horizontal="right"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right"/>
    </xf>
    <xf numFmtId="3" fontId="13" fillId="33" borderId="0" xfId="0" applyNumberFormat="1" applyFont="1" applyFill="1" applyAlignment="1">
      <alignment horizontal="center"/>
    </xf>
    <xf numFmtId="3" fontId="32" fillId="33" borderId="0" xfId="0" applyNumberFormat="1" applyFont="1" applyFill="1" applyAlignment="1">
      <alignment horizontal="right"/>
    </xf>
    <xf numFmtId="3" fontId="32" fillId="33" borderId="0" xfId="0" applyNumberFormat="1" applyFont="1" applyFill="1" applyAlignment="1">
      <alignment/>
    </xf>
    <xf numFmtId="0" fontId="13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2" fontId="32" fillId="33" borderId="0" xfId="0" applyNumberFormat="1" applyFont="1" applyFill="1" applyAlignment="1">
      <alignment/>
    </xf>
    <xf numFmtId="0" fontId="34" fillId="33" borderId="0" xfId="0" applyFont="1" applyFill="1" applyBorder="1" applyAlignment="1">
      <alignment horizontal="right"/>
    </xf>
    <xf numFmtId="187" fontId="13" fillId="33" borderId="0" xfId="59" applyNumberFormat="1" applyFont="1" applyFill="1" applyAlignment="1">
      <alignment horizontal="center"/>
    </xf>
    <xf numFmtId="9" fontId="32" fillId="33" borderId="0" xfId="59" applyFont="1" applyFill="1" applyAlignment="1">
      <alignment horizontal="left"/>
    </xf>
    <xf numFmtId="9" fontId="13" fillId="33" borderId="0" xfId="59" applyFont="1" applyFill="1" applyAlignment="1">
      <alignment horizontal="center"/>
    </xf>
    <xf numFmtId="3" fontId="32" fillId="33" borderId="0" xfId="0" applyNumberFormat="1" applyFont="1" applyFill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33" borderId="0" xfId="0" applyNumberFormat="1" applyFont="1" applyFill="1" applyAlignment="1">
      <alignment horizontal="left"/>
    </xf>
    <xf numFmtId="0" fontId="32" fillId="33" borderId="0" xfId="0" applyFont="1" applyFill="1" applyAlignment="1">
      <alignment horizontal="left"/>
    </xf>
    <xf numFmtId="0" fontId="34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 quotePrefix="1">
      <alignment horizontal="center"/>
    </xf>
    <xf numFmtId="9" fontId="32" fillId="33" borderId="0" xfId="0" applyNumberFormat="1" applyFont="1" applyFill="1" applyAlignment="1">
      <alignment horizontal="right"/>
    </xf>
    <xf numFmtId="0" fontId="33" fillId="33" borderId="0" xfId="0" applyFont="1" applyFill="1" applyAlignment="1">
      <alignment horizontal="right"/>
    </xf>
    <xf numFmtId="0" fontId="33" fillId="33" borderId="0" xfId="0" applyFont="1" applyFill="1" applyAlignment="1">
      <alignment horizontal="center"/>
    </xf>
    <xf numFmtId="0" fontId="34" fillId="33" borderId="0" xfId="0" applyFont="1" applyFill="1" applyAlignment="1">
      <alignment/>
    </xf>
    <xf numFmtId="3" fontId="13" fillId="33" borderId="0" xfId="0" applyNumberFormat="1" applyFont="1" applyFill="1" applyAlignment="1" quotePrefix="1">
      <alignment horizontal="center"/>
    </xf>
    <xf numFmtId="9" fontId="13" fillId="33" borderId="0" xfId="59" applyFont="1" applyFill="1" applyBorder="1" applyAlignment="1">
      <alignment horizontal="center"/>
    </xf>
    <xf numFmtId="0" fontId="32" fillId="33" borderId="0" xfId="0" applyFont="1" applyFill="1" applyAlignment="1" quotePrefix="1">
      <alignment/>
    </xf>
    <xf numFmtId="0" fontId="13" fillId="33" borderId="0" xfId="0" applyFont="1" applyFill="1" applyBorder="1" applyAlignment="1">
      <alignment/>
    </xf>
    <xf numFmtId="9" fontId="13" fillId="33" borderId="0" xfId="0" applyNumberFormat="1" applyFont="1" applyFill="1" applyAlignment="1">
      <alignment horizontal="center"/>
    </xf>
    <xf numFmtId="9" fontId="13" fillId="33" borderId="0" xfId="59" applyFont="1" applyFill="1" applyAlignment="1">
      <alignment horizontal="right"/>
    </xf>
    <xf numFmtId="0" fontId="32" fillId="33" borderId="0" xfId="0" applyFont="1" applyFill="1" applyBorder="1" applyAlignment="1">
      <alignment/>
    </xf>
    <xf numFmtId="9" fontId="13" fillId="33" borderId="0" xfId="0" applyNumberFormat="1" applyFont="1" applyFill="1" applyAlignment="1">
      <alignment/>
    </xf>
    <xf numFmtId="0" fontId="32" fillId="33" borderId="0" xfId="0" applyFont="1" applyFill="1" applyAlignment="1" quotePrefix="1">
      <alignment horizontal="left"/>
    </xf>
    <xf numFmtId="3" fontId="13" fillId="34" borderId="0" xfId="0" applyNumberFormat="1" applyFont="1" applyFill="1" applyAlignment="1">
      <alignment horizontal="right"/>
    </xf>
    <xf numFmtId="0" fontId="13" fillId="34" borderId="12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showGridLines="0" zoomScaleSheetLayoutView="100" zoomScalePageLayoutView="0" workbookViewId="0" topLeftCell="A1">
      <selection activeCell="G31" sqref="G31"/>
    </sheetView>
  </sheetViews>
  <sheetFormatPr defaultColWidth="11.421875" defaultRowHeight="12.75"/>
  <cols>
    <col min="1" max="1" width="2.140625" style="0" customWidth="1"/>
    <col min="2" max="2" width="30.7109375" style="0" customWidth="1"/>
    <col min="3" max="3" width="9.140625" style="0" customWidth="1"/>
    <col min="4" max="4" width="13.57421875" style="0" customWidth="1"/>
    <col min="5" max="5" width="14.140625" style="0" customWidth="1"/>
    <col min="6" max="6" width="1.28515625" style="0" customWidth="1"/>
    <col min="7" max="7" width="13.57421875" style="0" customWidth="1"/>
    <col min="8" max="8" width="4.140625" style="0" customWidth="1"/>
    <col min="9" max="9" width="37.421875" style="0" customWidth="1"/>
    <col min="10" max="10" width="14.00390625" style="0" bestFit="1" customWidth="1"/>
    <col min="11" max="11" width="11.421875" style="0" customWidth="1"/>
    <col min="12" max="12" width="12.7109375" style="0" bestFit="1" customWidth="1"/>
  </cols>
  <sheetData>
    <row r="1" ht="13.5">
      <c r="A1" s="51" t="s">
        <v>38</v>
      </c>
    </row>
    <row r="2" ht="12.75">
      <c r="A2" s="65" t="s">
        <v>64</v>
      </c>
    </row>
    <row r="3" ht="12.75">
      <c r="A3" s="65" t="s">
        <v>63</v>
      </c>
    </row>
    <row r="4" spans="1:7" ht="12.75" thickBot="1">
      <c r="A4" s="63"/>
      <c r="B4" s="63"/>
      <c r="C4" s="63"/>
      <c r="D4" s="63"/>
      <c r="E4" s="63"/>
      <c r="F4" s="63"/>
      <c r="G4" s="63"/>
    </row>
    <row r="5" spans="1:9" ht="15.75">
      <c r="A5" s="7" t="s">
        <v>22</v>
      </c>
      <c r="B5" s="8"/>
      <c r="C5" s="8"/>
      <c r="D5" s="8"/>
      <c r="E5" s="8"/>
      <c r="F5" s="8"/>
      <c r="G5" s="8"/>
      <c r="H5" s="8"/>
      <c r="I5" s="9"/>
    </row>
    <row r="6" spans="1:9" ht="15">
      <c r="A6" s="8"/>
      <c r="B6" s="8"/>
      <c r="C6" s="8"/>
      <c r="D6" s="8"/>
      <c r="E6" s="8"/>
      <c r="F6" s="8"/>
      <c r="G6" s="8"/>
      <c r="H6" s="8"/>
      <c r="I6" s="10"/>
    </row>
    <row r="7" spans="1:9" ht="12" customHeight="1">
      <c r="A7" s="37">
        <v>1</v>
      </c>
      <c r="B7" s="25" t="s">
        <v>23</v>
      </c>
      <c r="C7" s="26"/>
      <c r="D7" s="26"/>
      <c r="E7" s="26"/>
      <c r="F7" s="26"/>
      <c r="G7" s="26"/>
      <c r="H7" s="8"/>
      <c r="I7" s="10"/>
    </row>
    <row r="8" spans="1:9" ht="10.5" customHeight="1">
      <c r="A8" s="38"/>
      <c r="B8" s="26"/>
      <c r="C8" s="26"/>
      <c r="D8" s="26"/>
      <c r="E8" s="26"/>
      <c r="F8" s="26"/>
      <c r="G8" s="26"/>
      <c r="H8" s="8"/>
      <c r="I8" s="10"/>
    </row>
    <row r="9" spans="1:9" ht="10.5" customHeight="1">
      <c r="A9" s="38"/>
      <c r="B9" s="26" t="s">
        <v>34</v>
      </c>
      <c r="C9" s="27">
        <v>1</v>
      </c>
      <c r="D9" s="26"/>
      <c r="E9" s="26"/>
      <c r="F9" s="26"/>
      <c r="G9" s="26"/>
      <c r="H9" s="8"/>
      <c r="I9" s="10"/>
    </row>
    <row r="10" spans="1:9" ht="10.5" customHeight="1">
      <c r="A10" s="38"/>
      <c r="B10" s="26" t="s">
        <v>29</v>
      </c>
      <c r="C10" s="27">
        <v>180</v>
      </c>
      <c r="D10" s="26"/>
      <c r="E10" s="26"/>
      <c r="F10" s="26"/>
      <c r="G10" s="26"/>
      <c r="H10" s="8"/>
      <c r="I10" s="10"/>
    </row>
    <row r="11" spans="1:9" ht="10.5" customHeight="1">
      <c r="A11" s="38"/>
      <c r="B11" s="26" t="s">
        <v>28</v>
      </c>
      <c r="C11" s="27">
        <v>10000</v>
      </c>
      <c r="D11" s="26"/>
      <c r="E11" s="26"/>
      <c r="F11" s="26"/>
      <c r="G11" s="26"/>
      <c r="H11" s="8"/>
      <c r="I11" s="10"/>
    </row>
    <row r="12" spans="1:9" ht="10.5" customHeight="1">
      <c r="A12" s="38"/>
      <c r="B12" s="26"/>
      <c r="C12" s="28" t="s">
        <v>32</v>
      </c>
      <c r="D12" s="44">
        <f>C9*C10*C11</f>
        <v>1800000</v>
      </c>
      <c r="E12" s="29"/>
      <c r="F12" s="29"/>
      <c r="G12" s="29"/>
      <c r="H12" s="8"/>
      <c r="I12" s="11"/>
    </row>
    <row r="13" spans="1:9" ht="10.5" customHeight="1">
      <c r="A13" s="38"/>
      <c r="B13" s="26" t="s">
        <v>24</v>
      </c>
      <c r="C13" s="26"/>
      <c r="D13" s="44">
        <f>D12</f>
        <v>1800000</v>
      </c>
      <c r="E13" s="29"/>
      <c r="F13" s="29"/>
      <c r="G13" s="29"/>
      <c r="H13" s="8"/>
      <c r="I13" s="10"/>
    </row>
    <row r="14" spans="1:9" ht="10.5" customHeight="1">
      <c r="A14" s="38"/>
      <c r="B14" s="26"/>
      <c r="C14" s="26"/>
      <c r="D14" s="29"/>
      <c r="E14" s="29"/>
      <c r="F14" s="29"/>
      <c r="G14" s="29"/>
      <c r="H14" s="8"/>
      <c r="I14" s="10"/>
    </row>
    <row r="15" spans="1:9" ht="10.5" customHeight="1">
      <c r="A15" s="38"/>
      <c r="B15" s="26" t="s">
        <v>6</v>
      </c>
      <c r="C15" s="64">
        <v>0.09</v>
      </c>
      <c r="D15" s="39">
        <f>1/C15</f>
        <v>11.11111111111111</v>
      </c>
      <c r="E15" s="31"/>
      <c r="F15" s="29"/>
      <c r="G15" s="29"/>
      <c r="H15" s="8"/>
      <c r="I15" s="10"/>
    </row>
    <row r="16" spans="1:9" ht="12" customHeight="1">
      <c r="A16" s="38"/>
      <c r="B16" s="26"/>
      <c r="C16" s="26"/>
      <c r="D16" s="30" t="s">
        <v>32</v>
      </c>
      <c r="E16" s="44">
        <f>D13*D15</f>
        <v>20000000</v>
      </c>
      <c r="F16" s="29"/>
      <c r="G16" s="32"/>
      <c r="H16" s="10"/>
      <c r="I16" s="10"/>
    </row>
    <row r="17" spans="1:9" ht="10.5" customHeight="1">
      <c r="A17" s="38"/>
      <c r="B17" s="26" t="s">
        <v>30</v>
      </c>
      <c r="C17" s="33">
        <v>0.015</v>
      </c>
      <c r="D17" s="29"/>
      <c r="E17" s="44">
        <f>-C17*E16</f>
        <v>-300000</v>
      </c>
      <c r="F17" s="29"/>
      <c r="G17" s="29"/>
      <c r="H17" s="8"/>
      <c r="I17" s="12"/>
    </row>
    <row r="18" spans="1:9" ht="10.5" customHeight="1">
      <c r="A18" s="38"/>
      <c r="B18" s="26" t="s">
        <v>31</v>
      </c>
      <c r="C18" s="33">
        <v>0</v>
      </c>
      <c r="D18" s="29"/>
      <c r="E18" s="47">
        <f>-C18*E16</f>
        <v>0</v>
      </c>
      <c r="F18" s="32"/>
      <c r="G18" s="31"/>
      <c r="H18" s="10"/>
      <c r="I18" s="12"/>
    </row>
    <row r="19" spans="1:9" ht="14.25" customHeight="1">
      <c r="A19" s="38"/>
      <c r="B19" s="26"/>
      <c r="C19" s="26"/>
      <c r="D19" s="29"/>
      <c r="E19" s="30" t="s">
        <v>32</v>
      </c>
      <c r="F19" s="29"/>
      <c r="G19" s="42">
        <f>E18+E17+E16</f>
        <v>19700000</v>
      </c>
      <c r="H19" s="13"/>
      <c r="I19" s="10"/>
    </row>
    <row r="20" spans="1:9" ht="10.5" customHeight="1">
      <c r="A20" s="37">
        <v>2</v>
      </c>
      <c r="B20" s="25" t="s">
        <v>3</v>
      </c>
      <c r="C20" s="26"/>
      <c r="D20" s="29"/>
      <c r="E20" s="29"/>
      <c r="F20" s="29"/>
      <c r="G20" s="44"/>
      <c r="H20" s="8"/>
      <c r="I20" s="10"/>
    </row>
    <row r="21" spans="1:9" ht="10.5" customHeight="1">
      <c r="A21" s="38"/>
      <c r="B21" s="26"/>
      <c r="C21" s="26"/>
      <c r="D21" s="29"/>
      <c r="E21" s="29"/>
      <c r="F21" s="29"/>
      <c r="G21" s="44"/>
      <c r="H21" s="8"/>
      <c r="I21" s="10"/>
    </row>
    <row r="22" spans="1:9" ht="10.5" customHeight="1">
      <c r="A22" s="38"/>
      <c r="B22" s="24" t="s">
        <v>7</v>
      </c>
      <c r="C22" s="26"/>
      <c r="D22" s="45">
        <v>-2000000</v>
      </c>
      <c r="E22" s="29"/>
      <c r="F22" s="32"/>
      <c r="G22" s="44"/>
      <c r="H22" s="8"/>
      <c r="I22" s="10"/>
    </row>
    <row r="23" spans="1:9" ht="10.5" customHeight="1">
      <c r="A23" s="38"/>
      <c r="B23" s="26" t="s">
        <v>33</v>
      </c>
      <c r="C23" s="33">
        <v>0.045</v>
      </c>
      <c r="D23" s="45">
        <f>C23*D22</f>
        <v>-90000</v>
      </c>
      <c r="E23" s="53"/>
      <c r="F23" s="32"/>
      <c r="G23" s="45"/>
      <c r="H23" s="14"/>
      <c r="I23" s="12"/>
    </row>
    <row r="24" spans="1:9" ht="10.5" customHeight="1">
      <c r="A24" s="38"/>
      <c r="B24" s="26" t="s">
        <v>10</v>
      </c>
      <c r="C24" s="34"/>
      <c r="D24" s="45"/>
      <c r="E24" s="32"/>
      <c r="F24" s="32"/>
      <c r="G24" s="45"/>
      <c r="H24" s="14"/>
      <c r="I24" s="15"/>
    </row>
    <row r="25" spans="1:9" ht="9" customHeight="1">
      <c r="A25" s="38"/>
      <c r="B25" s="26"/>
      <c r="C25" s="35"/>
      <c r="D25" s="45"/>
      <c r="E25" s="31"/>
      <c r="F25" s="32"/>
      <c r="G25" s="45"/>
      <c r="H25" s="14"/>
      <c r="I25" s="16"/>
    </row>
    <row r="26" spans="1:9" ht="14.25" customHeight="1">
      <c r="A26" s="38"/>
      <c r="B26" s="26"/>
      <c r="C26" s="36"/>
      <c r="D26" s="50" t="s">
        <v>32</v>
      </c>
      <c r="E26" s="45">
        <f>SUM(D22:D25)</f>
        <v>-2090000</v>
      </c>
      <c r="F26" s="32"/>
      <c r="G26" s="45"/>
      <c r="H26" s="14"/>
      <c r="I26" s="10"/>
    </row>
    <row r="27" spans="1:9" ht="10.5" customHeight="1">
      <c r="A27" s="38"/>
      <c r="B27" s="24" t="s">
        <v>9</v>
      </c>
      <c r="C27" s="36"/>
      <c r="D27" s="45"/>
      <c r="E27" s="32"/>
      <c r="F27" s="32"/>
      <c r="G27" s="45"/>
      <c r="H27" s="14"/>
      <c r="I27" s="10"/>
    </row>
    <row r="28" spans="1:9" ht="10.5" customHeight="1">
      <c r="A28" s="38"/>
      <c r="B28" s="26" t="s">
        <v>25</v>
      </c>
      <c r="C28" s="52">
        <f>C11</f>
        <v>10000</v>
      </c>
      <c r="D28" s="45"/>
      <c r="E28" s="32"/>
      <c r="F28" s="32"/>
      <c r="G28" s="45"/>
      <c r="H28" s="14"/>
      <c r="I28" s="10"/>
    </row>
    <row r="29" spans="1:9" ht="10.5" customHeight="1">
      <c r="A29" s="38"/>
      <c r="B29" s="26" t="s">
        <v>26</v>
      </c>
      <c r="C29" s="52">
        <v>1000</v>
      </c>
      <c r="D29" s="47"/>
      <c r="E29" s="32"/>
      <c r="F29" s="32"/>
      <c r="G29" s="45"/>
      <c r="H29" s="14"/>
      <c r="I29" s="10"/>
    </row>
    <row r="30" spans="1:9" ht="10.5" customHeight="1">
      <c r="A30" s="38"/>
      <c r="B30" s="26"/>
      <c r="C30" s="36"/>
      <c r="D30" s="44">
        <f>-C28*C29</f>
        <v>-10000000</v>
      </c>
      <c r="E30" s="32"/>
      <c r="F30" s="32"/>
      <c r="G30" s="45"/>
      <c r="H30" s="14"/>
      <c r="I30" s="10"/>
    </row>
    <row r="31" spans="1:9" ht="10.5" customHeight="1">
      <c r="A31" s="38"/>
      <c r="B31" s="26" t="s">
        <v>27</v>
      </c>
      <c r="C31" s="36"/>
      <c r="D31" s="45">
        <f>-6000</f>
        <v>-6000</v>
      </c>
      <c r="E31" s="32"/>
      <c r="F31" s="32"/>
      <c r="G31" s="45"/>
      <c r="H31" s="14"/>
      <c r="I31" s="12"/>
    </row>
    <row r="32" spans="1:9" ht="10.5" customHeight="1">
      <c r="A32" s="38"/>
      <c r="B32" s="26" t="s">
        <v>14</v>
      </c>
      <c r="C32" s="26"/>
      <c r="D32" s="44">
        <f>-1000</f>
        <v>-1000</v>
      </c>
      <c r="E32" s="32"/>
      <c r="F32" s="32"/>
      <c r="G32" s="45"/>
      <c r="H32" s="14"/>
      <c r="I32" s="12"/>
    </row>
    <row r="33" spans="1:9" ht="10.5" customHeight="1">
      <c r="A33" s="38"/>
      <c r="B33" s="26" t="s">
        <v>19</v>
      </c>
      <c r="C33" s="26"/>
      <c r="D33" s="44"/>
      <c r="E33" s="32"/>
      <c r="F33" s="32"/>
      <c r="G33" s="45"/>
      <c r="H33" s="14"/>
      <c r="I33" s="16"/>
    </row>
    <row r="34" spans="1:9" ht="10.5" customHeight="1">
      <c r="A34" s="38"/>
      <c r="B34" s="26" t="s">
        <v>11</v>
      </c>
      <c r="C34" s="34">
        <v>0.08</v>
      </c>
      <c r="D34" s="44">
        <f>SUM(D30:D33)*C34</f>
        <v>-800560</v>
      </c>
      <c r="E34" s="32"/>
      <c r="F34" s="32"/>
      <c r="G34" s="45"/>
      <c r="H34" s="14"/>
      <c r="I34" s="16"/>
    </row>
    <row r="35" spans="1:9" ht="10.5" customHeight="1">
      <c r="A35" s="38"/>
      <c r="B35" s="26" t="s">
        <v>8</v>
      </c>
      <c r="C35" s="34">
        <v>0.04</v>
      </c>
      <c r="D35" s="44">
        <f>D30*C35</f>
        <v>-400000</v>
      </c>
      <c r="E35" s="32"/>
      <c r="F35" s="32"/>
      <c r="G35" s="45"/>
      <c r="H35" s="14"/>
      <c r="I35" s="16"/>
    </row>
    <row r="36" spans="1:9" ht="10.5" customHeight="1">
      <c r="A36" s="38"/>
      <c r="B36" s="26" t="s">
        <v>15</v>
      </c>
      <c r="C36" s="26"/>
      <c r="D36" s="45">
        <f>-15000</f>
        <v>-15000</v>
      </c>
      <c r="E36" s="32"/>
      <c r="F36" s="32"/>
      <c r="G36" s="46"/>
      <c r="H36" s="17"/>
      <c r="I36" s="12"/>
    </row>
    <row r="37" spans="1:9" ht="10.5" customHeight="1">
      <c r="A37" s="38"/>
      <c r="B37" s="26" t="s">
        <v>20</v>
      </c>
      <c r="C37" s="26"/>
      <c r="D37" s="45">
        <f>-50000</f>
        <v>-50000</v>
      </c>
      <c r="E37" s="32"/>
      <c r="F37" s="32"/>
      <c r="G37" s="45"/>
      <c r="H37" s="14"/>
      <c r="I37" s="12"/>
    </row>
    <row r="38" spans="1:9" ht="10.5" customHeight="1">
      <c r="A38" s="38"/>
      <c r="B38" s="26" t="s">
        <v>12</v>
      </c>
      <c r="C38" s="34">
        <v>0.0125</v>
      </c>
      <c r="D38" s="44"/>
      <c r="E38" s="32"/>
      <c r="F38" s="32"/>
      <c r="G38" s="45"/>
      <c r="H38" s="14"/>
      <c r="I38" s="16"/>
    </row>
    <row r="39" spans="1:9" ht="10.5" customHeight="1">
      <c r="A39" s="38"/>
      <c r="B39" s="26" t="s">
        <v>13</v>
      </c>
      <c r="C39" s="35">
        <v>15</v>
      </c>
      <c r="D39" s="47"/>
      <c r="E39" s="32"/>
      <c r="F39" s="32"/>
      <c r="G39" s="45"/>
      <c r="H39" s="14"/>
      <c r="I39" s="10"/>
    </row>
    <row r="40" spans="1:9" ht="10.5" customHeight="1">
      <c r="A40" s="38"/>
      <c r="B40" s="26"/>
      <c r="C40" s="26"/>
      <c r="D40" s="45">
        <f>((SUM(D30:D37))*C38*C39)/2</f>
        <v>-1056802.5</v>
      </c>
      <c r="E40" s="31"/>
      <c r="F40" s="32"/>
      <c r="G40" s="45"/>
      <c r="H40" s="14"/>
      <c r="I40" s="10"/>
    </row>
    <row r="41" spans="1:9" ht="11.25" customHeight="1">
      <c r="A41" s="38"/>
      <c r="B41" s="26"/>
      <c r="C41" s="26"/>
      <c r="D41" s="50" t="s">
        <v>32</v>
      </c>
      <c r="E41" s="45">
        <f>SUM(D30:D40)</f>
        <v>-12329362.5</v>
      </c>
      <c r="F41" s="32"/>
      <c r="G41" s="45"/>
      <c r="H41" s="14"/>
      <c r="I41" s="10"/>
    </row>
    <row r="42" spans="1:9" ht="10.5" customHeight="1">
      <c r="A42" s="38"/>
      <c r="B42" s="24" t="s">
        <v>16</v>
      </c>
      <c r="C42" s="36"/>
      <c r="D42" s="45"/>
      <c r="E42" s="32"/>
      <c r="F42" s="32"/>
      <c r="G42" s="45"/>
      <c r="H42" s="14"/>
      <c r="I42" s="10"/>
    </row>
    <row r="43" spans="1:9" ht="10.5" customHeight="1">
      <c r="A43" s="38"/>
      <c r="B43" s="26" t="s">
        <v>0</v>
      </c>
      <c r="C43" s="34">
        <v>0.1</v>
      </c>
      <c r="D43" s="45">
        <f>-D12*C43</f>
        <v>-180000</v>
      </c>
      <c r="E43" s="32"/>
      <c r="F43" s="32"/>
      <c r="G43" s="45"/>
      <c r="H43" s="14"/>
      <c r="I43" s="12"/>
    </row>
    <row r="44" spans="1:9" ht="10.5" customHeight="1">
      <c r="A44" s="38"/>
      <c r="B44" s="26" t="s">
        <v>1</v>
      </c>
      <c r="C44" s="34">
        <v>0</v>
      </c>
      <c r="D44" s="45">
        <f>-$D$13*C44</f>
        <v>0</v>
      </c>
      <c r="E44" s="32"/>
      <c r="F44" s="32"/>
      <c r="G44" s="45"/>
      <c r="H44" s="14"/>
      <c r="I44" s="12"/>
    </row>
    <row r="45" spans="1:9" ht="10.5" customHeight="1">
      <c r="A45" s="38"/>
      <c r="B45" s="26" t="s">
        <v>21</v>
      </c>
      <c r="C45" s="36"/>
      <c r="D45" s="45">
        <f>-15000</f>
        <v>-15000</v>
      </c>
      <c r="E45" s="31"/>
      <c r="F45" s="32"/>
      <c r="G45" s="45"/>
      <c r="H45" s="14"/>
      <c r="I45" s="12"/>
    </row>
    <row r="46" spans="1:9" ht="11.25" customHeight="1">
      <c r="A46" s="38"/>
      <c r="B46" s="26"/>
      <c r="C46" s="36"/>
      <c r="D46" s="30" t="s">
        <v>32</v>
      </c>
      <c r="E46" s="45">
        <f>SUM(D43:D45)</f>
        <v>-195000</v>
      </c>
      <c r="F46" s="32"/>
      <c r="G46" s="47"/>
      <c r="H46" s="14"/>
      <c r="I46" s="10"/>
    </row>
    <row r="47" spans="1:9" ht="11.25" customHeight="1">
      <c r="A47" s="38"/>
      <c r="B47" s="24" t="s">
        <v>17</v>
      </c>
      <c r="C47" s="36"/>
      <c r="D47" s="32"/>
      <c r="E47" s="30" t="s">
        <v>32</v>
      </c>
      <c r="F47" s="32"/>
      <c r="G47" s="48">
        <f>SUM(E22:E47)</f>
        <v>-14614362.5</v>
      </c>
      <c r="H47" s="18"/>
      <c r="I47" s="10"/>
    </row>
    <row r="48" spans="1:9" ht="10.5" customHeight="1" thickBot="1">
      <c r="A48" s="38"/>
      <c r="B48" s="26"/>
      <c r="C48" s="36"/>
      <c r="D48" s="32"/>
      <c r="E48" s="32"/>
      <c r="F48" s="32"/>
      <c r="G48" s="49"/>
      <c r="H48" s="14"/>
      <c r="I48" s="10"/>
    </row>
    <row r="49" spans="1:9" ht="14.25" customHeight="1" thickTop="1">
      <c r="A49" s="37">
        <v>3</v>
      </c>
      <c r="B49" s="25" t="s">
        <v>4</v>
      </c>
      <c r="C49" s="36"/>
      <c r="D49" s="32"/>
      <c r="E49" s="30" t="s">
        <v>32</v>
      </c>
      <c r="F49" s="32"/>
      <c r="G49" s="48">
        <f>G19+G47</f>
        <v>5085637.5</v>
      </c>
      <c r="H49" s="19"/>
      <c r="I49" s="10"/>
    </row>
    <row r="50" spans="1:9" ht="10.5" customHeight="1">
      <c r="A50" s="38"/>
      <c r="B50" s="26"/>
      <c r="C50" s="36"/>
      <c r="D50" s="32"/>
      <c r="E50" s="32"/>
      <c r="F50" s="32"/>
      <c r="G50" s="32"/>
      <c r="H50" s="14"/>
      <c r="I50" s="10"/>
    </row>
    <row r="51" spans="1:9" ht="10.5" customHeight="1">
      <c r="A51" s="37">
        <v>4</v>
      </c>
      <c r="B51" s="25" t="s">
        <v>5</v>
      </c>
      <c r="C51" s="36"/>
      <c r="D51" s="32"/>
      <c r="E51" s="32"/>
      <c r="F51" s="32"/>
      <c r="G51" s="32"/>
      <c r="H51" s="14"/>
      <c r="I51" s="10"/>
    </row>
    <row r="52" spans="1:9" ht="10.5" customHeight="1">
      <c r="A52" s="37"/>
      <c r="B52" s="26" t="s">
        <v>18</v>
      </c>
      <c r="C52" s="34">
        <v>0.15</v>
      </c>
      <c r="D52" s="32"/>
      <c r="E52" s="32"/>
      <c r="F52" s="32"/>
      <c r="G52" s="32"/>
      <c r="H52" s="14"/>
      <c r="I52" s="10"/>
    </row>
    <row r="53" spans="1:9" ht="10.5" customHeight="1">
      <c r="A53" s="38"/>
      <c r="B53" s="43" t="s">
        <v>37</v>
      </c>
      <c r="C53" s="40" t="s">
        <v>35</v>
      </c>
      <c r="D53" s="32"/>
      <c r="E53" s="32"/>
      <c r="F53" s="32"/>
      <c r="G53" s="32"/>
      <c r="H53" s="14"/>
      <c r="I53" s="10"/>
    </row>
    <row r="54" spans="1:9" ht="12.75" customHeight="1">
      <c r="A54" s="54"/>
      <c r="B54" s="55"/>
      <c r="C54" s="55"/>
      <c r="D54" s="32"/>
      <c r="E54" s="56"/>
      <c r="F54" s="32"/>
      <c r="G54" s="42">
        <f>-PV(C52,2,0,G49)</f>
        <v>3845472.589792061</v>
      </c>
      <c r="H54" s="20"/>
      <c r="I54" s="41"/>
    </row>
    <row r="55" spans="1:9" ht="15" customHeight="1" thickBot="1">
      <c r="A55" s="57"/>
      <c r="B55" s="58"/>
      <c r="C55" s="59"/>
      <c r="D55" s="60" t="s">
        <v>36</v>
      </c>
      <c r="E55" s="61" t="s">
        <v>32</v>
      </c>
      <c r="F55" s="62"/>
      <c r="G55" s="66">
        <f>ROUND(G54,-4)</f>
        <v>3850000</v>
      </c>
      <c r="H55" s="21"/>
      <c r="I55" s="10"/>
    </row>
    <row r="56" spans="1:9" ht="15">
      <c r="A56" s="8"/>
      <c r="B56" s="8"/>
      <c r="C56" s="22"/>
      <c r="D56" s="23"/>
      <c r="E56" s="23"/>
      <c r="F56" s="23"/>
      <c r="G56" s="23"/>
      <c r="H56" s="22"/>
      <c r="I56" s="10"/>
    </row>
    <row r="57" spans="1:9" ht="15">
      <c r="A57" s="4"/>
      <c r="B57" s="4"/>
      <c r="C57" s="4"/>
      <c r="D57" s="4"/>
      <c r="E57" s="4"/>
      <c r="F57" s="4"/>
      <c r="G57" s="6"/>
      <c r="H57" s="6"/>
      <c r="I57" s="5"/>
    </row>
    <row r="58" spans="1:9" ht="15">
      <c r="A58" s="4"/>
      <c r="B58" s="4"/>
      <c r="C58" s="4"/>
      <c r="D58" s="4"/>
      <c r="E58" s="4"/>
      <c r="F58" s="4"/>
      <c r="G58" s="6"/>
      <c r="H58" s="6"/>
      <c r="I58" s="5"/>
    </row>
    <row r="59" spans="1:9" ht="15">
      <c r="A59" s="4"/>
      <c r="B59" s="4"/>
      <c r="C59" s="4"/>
      <c r="D59" s="4"/>
      <c r="E59" s="4"/>
      <c r="F59" s="4"/>
      <c r="G59" s="6"/>
      <c r="H59" s="6"/>
      <c r="I59" s="5"/>
    </row>
    <row r="60" spans="1:9" ht="12.75">
      <c r="A60" s="3"/>
      <c r="B60" s="3"/>
      <c r="C60" s="3"/>
      <c r="D60" s="3"/>
      <c r="E60" s="3"/>
      <c r="F60" s="3"/>
      <c r="G60" s="3"/>
      <c r="H60" s="3"/>
      <c r="I60" s="1"/>
    </row>
    <row r="61" ht="12.75">
      <c r="I61" s="1"/>
    </row>
    <row r="62" ht="12.75">
      <c r="I62" s="1"/>
    </row>
    <row r="63" spans="2:9" ht="12.75">
      <c r="B63" s="2"/>
      <c r="I63" s="1"/>
    </row>
    <row r="64" spans="2:9" ht="12.75">
      <c r="B64" s="2"/>
      <c r="I64" s="1"/>
    </row>
    <row r="65" spans="2:9" ht="12.75">
      <c r="B65" s="2"/>
      <c r="I65" s="1"/>
    </row>
    <row r="66" spans="2:9" ht="12.75">
      <c r="B66" s="2"/>
      <c r="I66" s="1"/>
    </row>
    <row r="67" spans="2:9" ht="12.75">
      <c r="B67" s="2"/>
      <c r="I67" s="1"/>
    </row>
    <row r="68" spans="2:9" ht="12.75">
      <c r="B68" s="2"/>
      <c r="I68" s="1"/>
    </row>
    <row r="69" spans="2:9" ht="12.75">
      <c r="B69" s="2"/>
      <c r="I69" s="1"/>
    </row>
    <row r="70" ht="12.75">
      <c r="I70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&amp;LDevelopment and Finance Appraisal&amp;CAssignment 1&amp;RUB2DFA</oddHeader>
    <oddFooter>&amp;LName: Robert Whiting&amp;CStudent Number: 0500548&amp;R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140625" style="67" customWidth="1"/>
    <col min="2" max="2" width="30.7109375" style="67" customWidth="1"/>
    <col min="3" max="3" width="14.140625" style="67" bestFit="1" customWidth="1"/>
    <col min="4" max="4" width="13.57421875" style="67" customWidth="1"/>
    <col min="5" max="5" width="14.140625" style="67" customWidth="1"/>
    <col min="6" max="6" width="1.28515625" style="67" customWidth="1"/>
    <col min="7" max="7" width="13.57421875" style="67" customWidth="1"/>
    <col min="8" max="8" width="4.140625" style="67" customWidth="1"/>
    <col min="9" max="9" width="37.421875" style="67" customWidth="1"/>
    <col min="10" max="10" width="14.00390625" style="67" bestFit="1" customWidth="1"/>
    <col min="11" max="11" width="11.421875" style="67" customWidth="1"/>
    <col min="12" max="12" width="12.7109375" style="67" bestFit="1" customWidth="1"/>
    <col min="13" max="16384" width="11.421875" style="67" customWidth="1"/>
  </cols>
  <sheetData>
    <row r="1" spans="1:2" ht="15">
      <c r="A1" s="51"/>
      <c r="B1" s="129" t="s">
        <v>77</v>
      </c>
    </row>
    <row r="2" spans="1:9" ht="13.5">
      <c r="A2" s="72"/>
      <c r="B2" s="72"/>
      <c r="C2" s="72"/>
      <c r="D2" s="72"/>
      <c r="E2" s="72"/>
      <c r="F2" s="72"/>
      <c r="G2" s="72"/>
      <c r="H2" s="72"/>
      <c r="I2" s="70"/>
    </row>
    <row r="3" spans="1:9" ht="13.5">
      <c r="A3" s="71"/>
      <c r="B3" s="76" t="s">
        <v>68</v>
      </c>
      <c r="C3" s="72"/>
      <c r="D3" s="72"/>
      <c r="E3" s="72"/>
      <c r="F3" s="72"/>
      <c r="G3" s="72"/>
      <c r="H3" s="72"/>
      <c r="I3" s="70"/>
    </row>
    <row r="4" spans="1:9" ht="9" customHeight="1">
      <c r="A4" s="72"/>
      <c r="B4" s="72"/>
      <c r="C4" s="72"/>
      <c r="D4" s="72"/>
      <c r="E4" s="72"/>
      <c r="F4" s="72"/>
      <c r="G4" s="72"/>
      <c r="H4" s="72"/>
      <c r="I4" s="70"/>
    </row>
    <row r="5" spans="1:9" ht="13.5">
      <c r="A5" s="72"/>
      <c r="B5" s="72" t="s">
        <v>34</v>
      </c>
      <c r="C5" s="77">
        <v>1</v>
      </c>
      <c r="D5" s="72"/>
      <c r="E5" s="72"/>
      <c r="F5" s="72"/>
      <c r="G5" s="72"/>
      <c r="H5" s="72"/>
      <c r="I5" s="70"/>
    </row>
    <row r="6" spans="1:9" ht="13.5">
      <c r="A6" s="72"/>
      <c r="B6" s="72" t="s">
        <v>29</v>
      </c>
      <c r="C6" s="77">
        <v>180</v>
      </c>
      <c r="D6" s="72"/>
      <c r="E6" s="72"/>
      <c r="F6" s="72"/>
      <c r="G6" s="72"/>
      <c r="H6" s="72"/>
      <c r="I6" s="70"/>
    </row>
    <row r="7" spans="1:9" ht="13.5">
      <c r="A7" s="72"/>
      <c r="B7" s="72" t="s">
        <v>28</v>
      </c>
      <c r="C7" s="77">
        <v>10000</v>
      </c>
      <c r="D7" s="72"/>
      <c r="E7" s="72"/>
      <c r="F7" s="72"/>
      <c r="G7" s="72"/>
      <c r="H7" s="72"/>
      <c r="I7" s="70"/>
    </row>
    <row r="8" spans="1:9" ht="13.5" thickBot="1">
      <c r="A8" s="72"/>
      <c r="B8" s="78" t="s">
        <v>24</v>
      </c>
      <c r="C8" s="79"/>
      <c r="D8" s="80">
        <f>C5*C6*C7</f>
        <v>1800000</v>
      </c>
      <c r="E8" s="81"/>
      <c r="F8" s="81"/>
      <c r="G8" s="81"/>
      <c r="H8" s="72"/>
      <c r="I8" s="82"/>
    </row>
    <row r="9" spans="1:9" ht="13.5">
      <c r="A9" s="72"/>
      <c r="B9" s="72"/>
      <c r="C9" s="72"/>
      <c r="D9" s="83"/>
      <c r="E9" s="81"/>
      <c r="F9" s="81"/>
      <c r="G9" s="81"/>
      <c r="H9" s="72"/>
      <c r="I9" s="70"/>
    </row>
    <row r="10" spans="1:9" ht="13.5">
      <c r="A10" s="72"/>
      <c r="B10" s="72" t="s">
        <v>6</v>
      </c>
      <c r="C10" s="84">
        <v>0.09</v>
      </c>
      <c r="D10" s="85">
        <f>1/C10</f>
        <v>11.11111111111111</v>
      </c>
      <c r="E10" s="86"/>
      <c r="F10" s="81"/>
      <c r="G10" s="81"/>
      <c r="H10" s="72"/>
      <c r="I10" s="70"/>
    </row>
    <row r="11" spans="1:9" ht="13.5" thickBot="1">
      <c r="A11" s="72"/>
      <c r="B11" s="78"/>
      <c r="C11" s="78"/>
      <c r="D11" s="80">
        <f>D8*D10</f>
        <v>20000000</v>
      </c>
      <c r="F11" s="81"/>
      <c r="G11" s="86"/>
      <c r="H11" s="70"/>
      <c r="I11" s="70"/>
    </row>
    <row r="12" spans="1:9" ht="13.5">
      <c r="A12" s="72"/>
      <c r="B12" s="70"/>
      <c r="C12" s="70"/>
      <c r="D12" s="87"/>
      <c r="F12" s="81"/>
      <c r="G12" s="86"/>
      <c r="H12" s="70"/>
      <c r="I12" s="70"/>
    </row>
    <row r="13" spans="1:9" ht="13.5">
      <c r="A13" s="72"/>
      <c r="B13" s="72" t="s">
        <v>30</v>
      </c>
      <c r="C13" s="88">
        <v>0.015</v>
      </c>
      <c r="D13" s="83">
        <f>-C13*D11</f>
        <v>-300000</v>
      </c>
      <c r="F13" s="81"/>
      <c r="G13" s="81"/>
      <c r="H13" s="72"/>
      <c r="I13" s="89"/>
    </row>
    <row r="14" spans="1:9" ht="13.5">
      <c r="A14" s="72"/>
      <c r="B14" s="72" t="s">
        <v>31</v>
      </c>
      <c r="C14" s="88">
        <v>0</v>
      </c>
      <c r="D14" s="87">
        <f>-C14*D11</f>
        <v>0</v>
      </c>
      <c r="F14" s="86"/>
      <c r="G14" s="86"/>
      <c r="H14" s="70"/>
      <c r="I14" s="89"/>
    </row>
    <row r="15" spans="1:9" ht="14.25" thickBot="1">
      <c r="A15" s="72"/>
      <c r="B15" s="90"/>
      <c r="C15" s="91"/>
      <c r="D15" s="92">
        <f>D14+D13+D11</f>
        <v>19700000</v>
      </c>
      <c r="H15" s="93"/>
      <c r="I15" s="70"/>
    </row>
    <row r="16" spans="1:9" ht="11.25" customHeight="1">
      <c r="A16" s="72"/>
      <c r="B16" s="94"/>
      <c r="C16" s="86"/>
      <c r="D16" s="95"/>
      <c r="H16" s="93"/>
      <c r="I16" s="70"/>
    </row>
    <row r="17" spans="1:9" ht="13.5">
      <c r="A17" s="71"/>
      <c r="B17" s="76" t="s">
        <v>69</v>
      </c>
      <c r="C17" s="72"/>
      <c r="D17" s="81"/>
      <c r="E17" s="81"/>
      <c r="F17" s="81"/>
      <c r="G17" s="83"/>
      <c r="H17" s="72"/>
      <c r="I17" s="70"/>
    </row>
    <row r="18" spans="1:9" ht="11.25" customHeight="1">
      <c r="A18" s="72"/>
      <c r="B18" s="72"/>
      <c r="C18" s="72"/>
      <c r="D18" s="81"/>
      <c r="E18" s="81"/>
      <c r="F18" s="81"/>
      <c r="G18" s="83"/>
      <c r="H18" s="72"/>
      <c r="I18" s="70"/>
    </row>
    <row r="19" spans="1:9" ht="13.5">
      <c r="A19" s="72"/>
      <c r="B19" s="68" t="s">
        <v>7</v>
      </c>
      <c r="C19" s="70"/>
      <c r="D19" s="87">
        <v>-2000000</v>
      </c>
      <c r="E19" s="86"/>
      <c r="F19" s="86"/>
      <c r="G19" s="87"/>
      <c r="H19" s="72"/>
      <c r="I19" s="70"/>
    </row>
    <row r="20" spans="1:9" ht="13.5">
      <c r="A20" s="72"/>
      <c r="B20" s="72" t="s">
        <v>33</v>
      </c>
      <c r="C20" s="88">
        <v>0.045</v>
      </c>
      <c r="D20" s="87">
        <f>C20*D19</f>
        <v>-90000</v>
      </c>
      <c r="E20" s="96"/>
      <c r="F20" s="86"/>
      <c r="G20" s="87"/>
      <c r="H20" s="97"/>
      <c r="I20" s="89"/>
    </row>
    <row r="21" spans="1:9" ht="13.5">
      <c r="A21" s="72"/>
      <c r="B21" s="72" t="s">
        <v>10</v>
      </c>
      <c r="C21" s="98"/>
      <c r="D21" s="87"/>
      <c r="E21" s="86"/>
      <c r="F21" s="86"/>
      <c r="G21" s="87"/>
      <c r="H21" s="97"/>
      <c r="I21" s="99"/>
    </row>
    <row r="22" spans="1:9" ht="13.5" thickBot="1">
      <c r="A22" s="72"/>
      <c r="B22" s="78"/>
      <c r="C22" s="100"/>
      <c r="D22" s="100"/>
      <c r="E22" s="80">
        <f>SUM(D19:D21)</f>
        <v>-2090000</v>
      </c>
      <c r="F22" s="86"/>
      <c r="G22" s="87"/>
      <c r="H22" s="97"/>
      <c r="I22" s="70"/>
    </row>
    <row r="23" spans="1:9" ht="9.75" customHeight="1">
      <c r="A23" s="72"/>
      <c r="B23" s="70"/>
      <c r="C23" s="97"/>
      <c r="D23" s="87"/>
      <c r="F23" s="86"/>
      <c r="G23" s="87"/>
      <c r="H23" s="97"/>
      <c r="I23" s="70"/>
    </row>
    <row r="24" spans="1:9" ht="13.5">
      <c r="A24" s="72"/>
      <c r="B24" s="72" t="s">
        <v>72</v>
      </c>
      <c r="C24" s="97"/>
      <c r="D24" s="87"/>
      <c r="E24" s="86"/>
      <c r="F24" s="86"/>
      <c r="G24" s="87"/>
      <c r="H24" s="97"/>
      <c r="I24" s="70"/>
    </row>
    <row r="25" spans="1:9" ht="13.5">
      <c r="A25" s="72"/>
      <c r="B25" s="101" t="s">
        <v>25</v>
      </c>
      <c r="C25" s="102">
        <f>C7</f>
        <v>10000</v>
      </c>
      <c r="D25" s="103"/>
      <c r="E25" s="104"/>
      <c r="F25" s="86"/>
      <c r="G25" s="87"/>
      <c r="H25" s="97"/>
      <c r="I25" s="70"/>
    </row>
    <row r="26" spans="1:9" ht="13.5">
      <c r="A26" s="72"/>
      <c r="B26" s="72" t="s">
        <v>26</v>
      </c>
      <c r="C26" s="105">
        <v>1000</v>
      </c>
      <c r="D26" s="87"/>
      <c r="E26" s="86"/>
      <c r="F26" s="86"/>
      <c r="G26" s="87"/>
      <c r="H26" s="97"/>
      <c r="I26" s="70"/>
    </row>
    <row r="27" spans="1:9" ht="13.5" thickBot="1">
      <c r="A27" s="72"/>
      <c r="B27" s="78"/>
      <c r="C27" s="100"/>
      <c r="D27" s="80">
        <f>-C25*C26</f>
        <v>-10000000</v>
      </c>
      <c r="E27" s="86"/>
      <c r="F27" s="86"/>
      <c r="G27" s="87"/>
      <c r="H27" s="97"/>
      <c r="I27" s="70"/>
    </row>
    <row r="28" spans="1:9" ht="13.5">
      <c r="A28" s="72"/>
      <c r="B28" s="72" t="s">
        <v>27</v>
      </c>
      <c r="C28" s="97"/>
      <c r="D28" s="87">
        <f>-6000</f>
        <v>-6000</v>
      </c>
      <c r="E28" s="86"/>
      <c r="F28" s="86"/>
      <c r="G28" s="87"/>
      <c r="H28" s="97"/>
      <c r="I28" s="89"/>
    </row>
    <row r="29" spans="1:9" ht="13.5">
      <c r="A29" s="72"/>
      <c r="B29" s="72" t="s">
        <v>14</v>
      </c>
      <c r="C29" s="72"/>
      <c r="D29" s="83">
        <f>-1000</f>
        <v>-1000</v>
      </c>
      <c r="E29" s="86"/>
      <c r="F29" s="86"/>
      <c r="G29" s="87"/>
      <c r="H29" s="97"/>
      <c r="I29" s="89"/>
    </row>
    <row r="30" spans="1:9" ht="13.5">
      <c r="A30" s="72"/>
      <c r="B30" s="72" t="s">
        <v>19</v>
      </c>
      <c r="C30" s="72"/>
      <c r="D30" s="83"/>
      <c r="E30" s="86"/>
      <c r="F30" s="86"/>
      <c r="G30" s="87"/>
      <c r="H30" s="97"/>
      <c r="I30" s="106"/>
    </row>
    <row r="31" spans="1:9" ht="13.5">
      <c r="A31" s="72"/>
      <c r="B31" s="72" t="s">
        <v>11</v>
      </c>
      <c r="C31" s="98">
        <v>0.08</v>
      </c>
      <c r="D31" s="83">
        <f>SUM(D27:D30)*C31</f>
        <v>-800560</v>
      </c>
      <c r="E31" s="86"/>
      <c r="F31" s="86"/>
      <c r="G31" s="87"/>
      <c r="H31" s="97"/>
      <c r="I31" s="106"/>
    </row>
    <row r="32" spans="1:9" ht="13.5">
      <c r="A32" s="72"/>
      <c r="B32" s="72" t="s">
        <v>8</v>
      </c>
      <c r="C32" s="98">
        <v>0.04</v>
      </c>
      <c r="D32" s="83">
        <f>D27*C32</f>
        <v>-400000</v>
      </c>
      <c r="E32" s="86"/>
      <c r="F32" s="86"/>
      <c r="G32" s="87"/>
      <c r="H32" s="97"/>
      <c r="I32" s="106"/>
    </row>
    <row r="33" spans="1:9" ht="13.5">
      <c r="A33" s="72"/>
      <c r="B33" s="72" t="s">
        <v>15</v>
      </c>
      <c r="C33" s="72"/>
      <c r="D33" s="87">
        <f>-15000</f>
        <v>-15000</v>
      </c>
      <c r="E33" s="86"/>
      <c r="F33" s="86"/>
      <c r="G33" s="107"/>
      <c r="H33" s="108"/>
      <c r="I33" s="89"/>
    </row>
    <row r="34" spans="1:9" ht="13.5">
      <c r="A34" s="72"/>
      <c r="B34" s="72" t="s">
        <v>20</v>
      </c>
      <c r="C34" s="72"/>
      <c r="D34" s="87">
        <f>-50000</f>
        <v>-50000</v>
      </c>
      <c r="E34" s="86"/>
      <c r="F34" s="86"/>
      <c r="G34" s="87"/>
      <c r="H34" s="97"/>
      <c r="I34" s="89"/>
    </row>
    <row r="35" spans="1:9" ht="13.5">
      <c r="A35" s="72"/>
      <c r="B35" s="72" t="s">
        <v>12</v>
      </c>
      <c r="C35" s="98">
        <v>0.0125</v>
      </c>
      <c r="D35" s="83"/>
      <c r="E35" s="86"/>
      <c r="F35" s="86"/>
      <c r="G35" s="87"/>
      <c r="H35" s="97"/>
      <c r="I35" s="106"/>
    </row>
    <row r="36" spans="1:9" ht="13.5">
      <c r="A36" s="72"/>
      <c r="B36" s="72" t="s">
        <v>13</v>
      </c>
      <c r="C36" s="109">
        <v>15</v>
      </c>
      <c r="D36" s="87"/>
      <c r="E36" s="86"/>
      <c r="F36" s="86"/>
      <c r="G36" s="87"/>
      <c r="H36" s="97"/>
      <c r="I36" s="70"/>
    </row>
    <row r="37" spans="1:9" ht="13.5">
      <c r="A37" s="72"/>
      <c r="B37" s="101"/>
      <c r="C37" s="101"/>
      <c r="D37" s="103">
        <f>((SUM(D27:D34))*C35*C36)/2</f>
        <v>-1056802.5</v>
      </c>
      <c r="E37" s="86"/>
      <c r="F37" s="86"/>
      <c r="G37" s="87"/>
      <c r="H37" s="97"/>
      <c r="I37" s="70"/>
    </row>
    <row r="38" spans="1:9" ht="13.5" thickBot="1">
      <c r="A38" s="72"/>
      <c r="B38" s="78"/>
      <c r="C38" s="78"/>
      <c r="D38" s="78"/>
      <c r="E38" s="80">
        <f>SUM(D27:D37)</f>
        <v>-12329362.5</v>
      </c>
      <c r="F38" s="86"/>
      <c r="G38" s="87"/>
      <c r="H38" s="97"/>
      <c r="I38" s="70"/>
    </row>
    <row r="39" spans="1:9" ht="12" customHeight="1">
      <c r="A39" s="72"/>
      <c r="B39" s="70"/>
      <c r="C39" s="70"/>
      <c r="D39" s="87"/>
      <c r="F39" s="86"/>
      <c r="G39" s="87"/>
      <c r="H39" s="97"/>
      <c r="I39" s="70"/>
    </row>
    <row r="40" spans="1:9" ht="13.5">
      <c r="A40" s="72"/>
      <c r="B40" s="72" t="s">
        <v>73</v>
      </c>
      <c r="C40" s="97"/>
      <c r="D40" s="87"/>
      <c r="E40" s="86"/>
      <c r="F40" s="86"/>
      <c r="G40" s="87"/>
      <c r="H40" s="97"/>
      <c r="I40" s="70"/>
    </row>
    <row r="41" spans="1:9" ht="13.5">
      <c r="A41" s="72"/>
      <c r="B41" s="101" t="s">
        <v>0</v>
      </c>
      <c r="C41" s="110">
        <v>0.1</v>
      </c>
      <c r="D41" s="103">
        <f>-D8*C41</f>
        <v>-180000</v>
      </c>
      <c r="E41" s="104"/>
      <c r="F41" s="86"/>
      <c r="G41" s="87"/>
      <c r="H41" s="97"/>
      <c r="I41" s="89"/>
    </row>
    <row r="42" spans="1:9" ht="13.5">
      <c r="A42" s="72"/>
      <c r="B42" s="72" t="s">
        <v>1</v>
      </c>
      <c r="C42" s="98">
        <v>0</v>
      </c>
      <c r="D42" s="87">
        <f>-$D$9*C42</f>
        <v>0</v>
      </c>
      <c r="E42" s="86"/>
      <c r="F42" s="86"/>
      <c r="G42" s="87"/>
      <c r="H42" s="97"/>
      <c r="I42" s="89"/>
    </row>
    <row r="43" spans="1:9" ht="13.5">
      <c r="A43" s="72"/>
      <c r="B43" s="72" t="s">
        <v>21</v>
      </c>
      <c r="C43" s="97"/>
      <c r="D43" s="87">
        <f>-15000</f>
        <v>-15000</v>
      </c>
      <c r="E43" s="86"/>
      <c r="F43" s="86"/>
      <c r="G43" s="87"/>
      <c r="H43" s="97"/>
      <c r="I43" s="89"/>
    </row>
    <row r="44" spans="1:9" ht="13.5">
      <c r="A44" s="72"/>
      <c r="B44" s="101"/>
      <c r="C44" s="111"/>
      <c r="D44" s="111"/>
      <c r="E44" s="103">
        <f>SUM(D41:D43)</f>
        <v>-195000</v>
      </c>
      <c r="F44" s="86"/>
      <c r="G44" s="87"/>
      <c r="H44" s="97"/>
      <c r="I44" s="70"/>
    </row>
    <row r="45" spans="1:9" ht="14.25" thickBot="1">
      <c r="A45" s="72"/>
      <c r="B45" s="112" t="s">
        <v>17</v>
      </c>
      <c r="C45" s="100"/>
      <c r="D45" s="91"/>
      <c r="E45" s="92">
        <f>E22+E38+E44</f>
        <v>-14614362.5</v>
      </c>
      <c r="F45" s="91"/>
      <c r="H45" s="113"/>
      <c r="I45" s="70"/>
    </row>
    <row r="46" spans="1:9" ht="9" customHeight="1">
      <c r="A46" s="72"/>
      <c r="B46" s="72"/>
      <c r="C46" s="97"/>
      <c r="D46" s="86"/>
      <c r="E46" s="86"/>
      <c r="F46" s="86"/>
      <c r="G46" s="87"/>
      <c r="H46" s="97"/>
      <c r="I46" s="70"/>
    </row>
    <row r="47" spans="1:9" ht="13.5">
      <c r="A47" s="71"/>
      <c r="B47" s="76" t="s">
        <v>70</v>
      </c>
      <c r="C47" s="97"/>
      <c r="D47" s="86"/>
      <c r="E47" s="114"/>
      <c r="F47" s="86"/>
      <c r="G47" s="95"/>
      <c r="H47" s="115"/>
      <c r="I47" s="70"/>
    </row>
    <row r="48" spans="1:9" ht="10.5" customHeight="1">
      <c r="A48" s="71"/>
      <c r="B48" s="76"/>
      <c r="C48" s="97"/>
      <c r="D48" s="86"/>
      <c r="E48" s="114"/>
      <c r="F48" s="86"/>
      <c r="G48" s="95"/>
      <c r="H48" s="115"/>
      <c r="I48" s="70"/>
    </row>
    <row r="49" spans="1:9" ht="13.5">
      <c r="A49" s="71"/>
      <c r="B49" s="70" t="s">
        <v>74</v>
      </c>
      <c r="C49" s="87">
        <f>D15</f>
        <v>19700000</v>
      </c>
      <c r="D49" s="86"/>
      <c r="E49" s="94"/>
      <c r="F49" s="86"/>
      <c r="G49" s="95"/>
      <c r="H49" s="115"/>
      <c r="I49" s="70"/>
    </row>
    <row r="50" spans="1:9" ht="13.5">
      <c r="A50" s="71"/>
      <c r="B50" s="116" t="s">
        <v>17</v>
      </c>
      <c r="C50" s="117">
        <f>E45</f>
        <v>-14614362.5</v>
      </c>
      <c r="D50" s="86"/>
      <c r="E50" s="94"/>
      <c r="F50" s="86"/>
      <c r="G50" s="95"/>
      <c r="H50" s="115"/>
      <c r="I50" s="70"/>
    </row>
    <row r="51" spans="1:9" ht="13.5" thickBot="1">
      <c r="A51" s="72"/>
      <c r="B51" s="78"/>
      <c r="C51" s="80">
        <f>C49+C50</f>
        <v>5085637.5</v>
      </c>
      <c r="D51" s="86"/>
      <c r="E51" s="86"/>
      <c r="F51" s="86"/>
      <c r="G51" s="86"/>
      <c r="H51" s="97"/>
      <c r="I51" s="70"/>
    </row>
    <row r="52" spans="1:9" ht="10.5" customHeight="1">
      <c r="A52" s="72"/>
      <c r="B52" s="72"/>
      <c r="C52" s="97"/>
      <c r="D52" s="86"/>
      <c r="E52" s="86"/>
      <c r="F52" s="86"/>
      <c r="G52" s="86"/>
      <c r="H52" s="97"/>
      <c r="I52" s="70"/>
    </row>
    <row r="53" spans="1:9" ht="13.5">
      <c r="A53" s="71"/>
      <c r="B53" s="76" t="s">
        <v>71</v>
      </c>
      <c r="C53" s="97"/>
      <c r="D53" s="86"/>
      <c r="E53" s="86"/>
      <c r="F53" s="86"/>
      <c r="G53" s="86"/>
      <c r="H53" s="97"/>
      <c r="I53" s="70"/>
    </row>
    <row r="54" spans="1:9" ht="10.5" customHeight="1">
      <c r="A54" s="71"/>
      <c r="B54" s="76"/>
      <c r="C54" s="97"/>
      <c r="D54" s="86"/>
      <c r="E54" s="86"/>
      <c r="F54" s="86"/>
      <c r="G54" s="86"/>
      <c r="H54" s="97"/>
      <c r="I54" s="70"/>
    </row>
    <row r="55" spans="1:9" ht="13.5">
      <c r="A55" s="71"/>
      <c r="B55" s="72" t="s">
        <v>18</v>
      </c>
      <c r="C55" s="98">
        <v>0.15</v>
      </c>
      <c r="D55" s="86"/>
      <c r="E55" s="86"/>
      <c r="F55" s="86"/>
      <c r="G55" s="86"/>
      <c r="H55" s="97"/>
      <c r="I55" s="70"/>
    </row>
    <row r="56" spans="1:9" ht="13.5">
      <c r="A56" s="71"/>
      <c r="B56" s="72" t="s">
        <v>37</v>
      </c>
      <c r="C56" s="118" t="s">
        <v>35</v>
      </c>
      <c r="D56" s="86"/>
      <c r="E56" s="86"/>
      <c r="F56" s="86"/>
      <c r="G56" s="86"/>
      <c r="H56" s="97"/>
      <c r="I56" s="70"/>
    </row>
    <row r="57" spans="1:9" ht="13.5">
      <c r="A57" s="71"/>
      <c r="B57" s="86"/>
      <c r="C57" s="119"/>
      <c r="D57" s="120">
        <f>-PV(C55,2,0,C51)</f>
        <v>3845472.589792061</v>
      </c>
      <c r="H57" s="121"/>
      <c r="I57" s="122"/>
    </row>
    <row r="58" spans="1:9" ht="14.25" thickBot="1">
      <c r="A58" s="71"/>
      <c r="B58" s="123" t="s">
        <v>36</v>
      </c>
      <c r="C58" s="73"/>
      <c r="D58" s="124">
        <f>ROUND(D57,-4)</f>
        <v>3850000</v>
      </c>
      <c r="H58" s="125"/>
      <c r="I58" s="70"/>
    </row>
    <row r="59" spans="1:9" ht="13.5">
      <c r="A59" s="71"/>
      <c r="B59" s="72"/>
      <c r="C59" s="126"/>
      <c r="D59" s="81"/>
      <c r="E59" s="81"/>
      <c r="F59" s="81"/>
      <c r="G59" s="81"/>
      <c r="H59" s="126"/>
      <c r="I59" s="70"/>
    </row>
    <row r="60" spans="1:9" ht="13.5">
      <c r="A60" s="71"/>
      <c r="G60" s="127"/>
      <c r="H60" s="127"/>
      <c r="I60" s="128"/>
    </row>
    <row r="61" spans="1:9" ht="13.5">
      <c r="A61" s="71"/>
      <c r="G61" s="127"/>
      <c r="H61" s="127"/>
      <c r="I61" s="128"/>
    </row>
    <row r="62" spans="1:9" ht="13.5">
      <c r="A62" s="71"/>
      <c r="G62" s="127"/>
      <c r="H62" s="127"/>
      <c r="I62" s="128"/>
    </row>
    <row r="63" spans="1:9" ht="13.5">
      <c r="A63" s="71"/>
      <c r="I63" s="74"/>
    </row>
    <row r="64" ht="13.5">
      <c r="I64" s="74"/>
    </row>
    <row r="65" ht="13.5">
      <c r="I65" s="74"/>
    </row>
    <row r="66" spans="2:9" ht="13.5">
      <c r="B66" s="75"/>
      <c r="I66" s="74"/>
    </row>
    <row r="67" spans="2:9" ht="13.5">
      <c r="B67" s="75"/>
      <c r="I67" s="74"/>
    </row>
    <row r="68" spans="2:9" ht="13.5">
      <c r="B68" s="75"/>
      <c r="I68" s="74"/>
    </row>
    <row r="69" spans="2:9" ht="13.5">
      <c r="B69" s="75"/>
      <c r="I69" s="74"/>
    </row>
    <row r="70" spans="2:9" ht="13.5">
      <c r="B70" s="75"/>
      <c r="I70" s="74"/>
    </row>
    <row r="71" spans="2:9" ht="13.5">
      <c r="B71" s="75"/>
      <c r="I71" s="74"/>
    </row>
    <row r="72" spans="2:9" ht="13.5">
      <c r="B72" s="75"/>
      <c r="I72" s="74"/>
    </row>
    <row r="73" ht="13.5">
      <c r="I73" s="74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0" r:id="rId1"/>
  <headerFooter alignWithMargins="0">
    <oddHeader>&amp;LDevelopment and Finance Appraisal&amp;CAssignment 1&amp;RUB2DFA</oddHeader>
    <oddFooter>&amp;LName: Robert Whiting&amp;CStudent Number: 0500548&amp;R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5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31" customWidth="1"/>
    <col min="2" max="2" width="28.00390625" style="131" customWidth="1"/>
    <col min="3" max="3" width="13.00390625" style="132" bestFit="1" customWidth="1"/>
    <col min="4" max="4" width="4.421875" style="132" customWidth="1"/>
    <col min="5" max="8" width="11.28125" style="132" customWidth="1"/>
    <col min="9" max="9" width="4.140625" style="131" customWidth="1"/>
    <col min="10" max="10" width="19.57421875" style="131" bestFit="1" customWidth="1"/>
    <col min="11" max="16384" width="9.140625" style="131" customWidth="1"/>
  </cols>
  <sheetData>
    <row r="1" spans="2:8" ht="13.5">
      <c r="B1" s="130" t="s">
        <v>76</v>
      </c>
      <c r="C1" s="131"/>
      <c r="D1" s="131"/>
      <c r="E1" s="131"/>
      <c r="F1" s="131"/>
      <c r="G1" s="131"/>
      <c r="H1" s="131"/>
    </row>
    <row r="2" ht="13.5">
      <c r="J2" s="133"/>
    </row>
    <row r="3" spans="2:8" ht="13.5">
      <c r="B3" s="134"/>
      <c r="E3" s="168" t="s">
        <v>42</v>
      </c>
      <c r="F3" s="168" t="s">
        <v>39</v>
      </c>
      <c r="G3" s="168" t="s">
        <v>40</v>
      </c>
      <c r="H3" s="168" t="s">
        <v>41</v>
      </c>
    </row>
    <row r="4" spans="2:8" ht="14.25" thickBot="1">
      <c r="B4" s="136"/>
      <c r="C4" s="137" t="s">
        <v>2</v>
      </c>
      <c r="D4" s="138"/>
      <c r="E4" s="169">
        <v>2012</v>
      </c>
      <c r="F4" s="169">
        <v>2013</v>
      </c>
      <c r="G4" s="169">
        <v>2014</v>
      </c>
      <c r="H4" s="169">
        <v>2015</v>
      </c>
    </row>
    <row r="5" spans="2:8" ht="13.5">
      <c r="B5" s="131" t="s">
        <v>50</v>
      </c>
      <c r="C5" s="139">
        <v>1</v>
      </c>
      <c r="D5" s="139"/>
      <c r="E5" s="139"/>
      <c r="F5" s="135"/>
      <c r="G5" s="140"/>
      <c r="H5" s="132">
        <f>C5</f>
        <v>1</v>
      </c>
    </row>
    <row r="6" spans="2:8" ht="13.5">
      <c r="B6" s="131" t="s">
        <v>51</v>
      </c>
      <c r="C6" s="132">
        <v>180</v>
      </c>
      <c r="D6" s="131"/>
      <c r="E6" s="131"/>
      <c r="F6" s="140"/>
      <c r="G6" s="140"/>
      <c r="H6" s="132">
        <f>C6</f>
        <v>180</v>
      </c>
    </row>
    <row r="7" spans="2:8" ht="13.5">
      <c r="B7" s="131" t="s">
        <v>52</v>
      </c>
      <c r="C7" s="132">
        <v>10000</v>
      </c>
      <c r="F7" s="141"/>
      <c r="G7" s="141"/>
      <c r="H7" s="132">
        <f>C7</f>
        <v>10000</v>
      </c>
    </row>
    <row r="9" spans="2:12" ht="13.5">
      <c r="B9" s="142"/>
      <c r="C9" s="143"/>
      <c r="D9" s="143"/>
      <c r="E9" s="168" t="s">
        <v>42</v>
      </c>
      <c r="F9" s="168" t="s">
        <v>39</v>
      </c>
      <c r="G9" s="168" t="s">
        <v>40</v>
      </c>
      <c r="H9" s="168" t="s">
        <v>41</v>
      </c>
      <c r="I9" s="131" t="s">
        <v>67</v>
      </c>
      <c r="L9" s="144"/>
    </row>
    <row r="10" spans="2:12" ht="14.25" thickBot="1">
      <c r="B10" s="136" t="s">
        <v>53</v>
      </c>
      <c r="C10" s="137" t="s">
        <v>2</v>
      </c>
      <c r="D10" s="145"/>
      <c r="E10" s="169">
        <v>2012</v>
      </c>
      <c r="F10" s="169">
        <v>2013</v>
      </c>
      <c r="G10" s="169">
        <v>2014</v>
      </c>
      <c r="H10" s="169">
        <v>2015</v>
      </c>
      <c r="I10" s="131" t="s">
        <v>67</v>
      </c>
      <c r="L10" s="130"/>
    </row>
    <row r="11" spans="2:10" s="130" customFormat="1" ht="13.5">
      <c r="B11" s="131" t="s">
        <v>24</v>
      </c>
      <c r="C11" s="135"/>
      <c r="D11" s="135"/>
      <c r="E11" s="135"/>
      <c r="F11" s="140"/>
      <c r="G11" s="140"/>
      <c r="H11" s="140">
        <f>H5*H6*H7</f>
        <v>1800000</v>
      </c>
      <c r="I11" s="131" t="s">
        <v>67</v>
      </c>
      <c r="J11" s="134"/>
    </row>
    <row r="12" spans="2:10" ht="13.5">
      <c r="B12" s="131" t="s">
        <v>54</v>
      </c>
      <c r="C12" s="146">
        <v>0.015</v>
      </c>
      <c r="D12" s="147"/>
      <c r="E12" s="148"/>
      <c r="F12" s="149"/>
      <c r="G12" s="149"/>
      <c r="H12" s="149">
        <f>-$C12*H11</f>
        <v>-27000</v>
      </c>
      <c r="I12" s="131" t="s">
        <v>67</v>
      </c>
      <c r="J12" s="134"/>
    </row>
    <row r="13" spans="2:10" ht="13.5">
      <c r="B13" s="131" t="s">
        <v>1</v>
      </c>
      <c r="C13" s="146">
        <v>0</v>
      </c>
      <c r="D13" s="147"/>
      <c r="E13" s="150"/>
      <c r="F13" s="150"/>
      <c r="G13" s="150"/>
      <c r="H13" s="150">
        <f>-$C13*H12</f>
        <v>0</v>
      </c>
      <c r="I13" s="131" t="s">
        <v>67</v>
      </c>
      <c r="J13" s="134"/>
    </row>
    <row r="14" spans="2:10" s="130" customFormat="1" ht="13.5">
      <c r="B14" s="130" t="s">
        <v>60</v>
      </c>
      <c r="C14" s="135"/>
      <c r="D14" s="151"/>
      <c r="E14" s="135"/>
      <c r="F14" s="140"/>
      <c r="G14" s="140"/>
      <c r="H14" s="135">
        <f>H11+H12+H13</f>
        <v>1773000</v>
      </c>
      <c r="I14" s="130" t="s">
        <v>67</v>
      </c>
      <c r="J14" s="134" t="s">
        <v>75</v>
      </c>
    </row>
    <row r="15" spans="2:7" ht="13.5">
      <c r="B15" s="152"/>
      <c r="C15" s="140"/>
      <c r="D15" s="140"/>
      <c r="E15" s="140"/>
      <c r="F15" s="140"/>
      <c r="G15" s="140"/>
    </row>
    <row r="16" spans="2:8" ht="13.5">
      <c r="B16" s="152"/>
      <c r="C16" s="140"/>
      <c r="D16" s="140"/>
      <c r="E16" s="140"/>
      <c r="F16" s="140"/>
      <c r="G16" s="140"/>
      <c r="H16" s="140"/>
    </row>
    <row r="17" spans="3:9" ht="13.5">
      <c r="C17" s="140"/>
      <c r="D17" s="140"/>
      <c r="E17" s="168" t="s">
        <v>42</v>
      </c>
      <c r="F17" s="168" t="s">
        <v>39</v>
      </c>
      <c r="G17" s="168" t="s">
        <v>40</v>
      </c>
      <c r="H17" s="168" t="s">
        <v>41</v>
      </c>
      <c r="I17" s="131" t="s">
        <v>67</v>
      </c>
    </row>
    <row r="18" spans="2:9" ht="14.25" thickBot="1">
      <c r="B18" s="153" t="s">
        <v>43</v>
      </c>
      <c r="C18" s="137" t="s">
        <v>2</v>
      </c>
      <c r="D18" s="145"/>
      <c r="E18" s="169">
        <v>2012</v>
      </c>
      <c r="F18" s="169">
        <v>2013</v>
      </c>
      <c r="G18" s="169">
        <v>2014</v>
      </c>
      <c r="H18" s="169">
        <v>2015</v>
      </c>
      <c r="I18" s="131" t="s">
        <v>67</v>
      </c>
    </row>
    <row r="19" spans="2:18" ht="13.5">
      <c r="B19" s="131" t="s">
        <v>55</v>
      </c>
      <c r="C19" s="148">
        <v>0</v>
      </c>
      <c r="D19" s="154"/>
      <c r="E19" s="140"/>
      <c r="F19" s="140">
        <f>$C$19*F11</f>
        <v>0</v>
      </c>
      <c r="G19" s="140">
        <f>$C$19*G11</f>
        <v>0</v>
      </c>
      <c r="H19" s="140">
        <f>$C$19*H11</f>
        <v>0</v>
      </c>
      <c r="I19" s="131" t="s">
        <v>67</v>
      </c>
      <c r="J19" s="155"/>
      <c r="K19" s="155"/>
      <c r="L19" s="155"/>
      <c r="M19" s="155"/>
      <c r="N19" s="155"/>
      <c r="O19" s="155"/>
      <c r="P19" s="155"/>
      <c r="Q19" s="155"/>
      <c r="R19" s="155"/>
    </row>
    <row r="20" spans="2:9" ht="13.5">
      <c r="B20" s="131" t="s">
        <v>56</v>
      </c>
      <c r="C20" s="139">
        <f>-'Valuation-Residual - Developm'!G47</f>
        <v>14614362.5</v>
      </c>
      <c r="D20" s="154"/>
      <c r="E20" s="150">
        <v>0</v>
      </c>
      <c r="F20" s="150">
        <v>0</v>
      </c>
      <c r="G20" s="150">
        <f>C20</f>
        <v>14614362.5</v>
      </c>
      <c r="H20" s="150">
        <f>G20</f>
        <v>14614362.5</v>
      </c>
      <c r="I20" s="131" t="s">
        <v>67</v>
      </c>
    </row>
    <row r="21" spans="2:9" ht="13.5">
      <c r="B21" s="131" t="s">
        <v>57</v>
      </c>
      <c r="E21" s="140">
        <f>C19+E20</f>
        <v>0</v>
      </c>
      <c r="F21" s="140">
        <f>F19+F20</f>
        <v>0</v>
      </c>
      <c r="G21" s="140">
        <f>G19+G20</f>
        <v>14614362.5</v>
      </c>
      <c r="H21" s="140">
        <f>H19+H20</f>
        <v>14614362.5</v>
      </c>
      <c r="I21" s="152" t="s">
        <v>67</v>
      </c>
    </row>
    <row r="22" spans="3:9" ht="13.5">
      <c r="C22" s="140"/>
      <c r="D22" s="140"/>
      <c r="E22" s="140"/>
      <c r="F22" s="140"/>
      <c r="G22" s="140"/>
      <c r="H22" s="140"/>
      <c r="I22" s="152"/>
    </row>
    <row r="23" spans="2:9" ht="13.5">
      <c r="B23" s="131" t="s">
        <v>58</v>
      </c>
      <c r="C23" s="139"/>
      <c r="D23" s="154"/>
      <c r="E23" s="140">
        <v>0</v>
      </c>
      <c r="F23" s="140">
        <v>0</v>
      </c>
      <c r="G23" s="140">
        <f>F23-$F23/10</f>
        <v>0</v>
      </c>
      <c r="H23" s="140">
        <f>G23</f>
        <v>0</v>
      </c>
      <c r="I23" s="152" t="s">
        <v>67</v>
      </c>
    </row>
    <row r="24" spans="2:9" ht="13.5">
      <c r="B24" s="131" t="s">
        <v>44</v>
      </c>
      <c r="D24" s="154"/>
      <c r="E24" s="150">
        <v>0</v>
      </c>
      <c r="F24" s="150">
        <v>0</v>
      </c>
      <c r="G24" s="150">
        <f>G21</f>
        <v>14614362.5</v>
      </c>
      <c r="H24" s="150">
        <f>G24</f>
        <v>14614362.5</v>
      </c>
      <c r="I24" s="152" t="s">
        <v>67</v>
      </c>
    </row>
    <row r="25" spans="2:9" ht="13.5">
      <c r="B25" s="131" t="s">
        <v>45</v>
      </c>
      <c r="C25" s="140"/>
      <c r="D25" s="140"/>
      <c r="E25" s="140">
        <v>0</v>
      </c>
      <c r="F25" s="140">
        <v>0</v>
      </c>
      <c r="G25" s="140">
        <f>G23+G24</f>
        <v>14614362.5</v>
      </c>
      <c r="H25" s="140">
        <f>H23+H24</f>
        <v>14614362.5</v>
      </c>
      <c r="I25" s="152" t="s">
        <v>67</v>
      </c>
    </row>
    <row r="26" spans="2:9" ht="13.5">
      <c r="B26" s="152"/>
      <c r="C26" s="148"/>
      <c r="D26" s="148"/>
      <c r="E26" s="140"/>
      <c r="F26" s="140"/>
      <c r="G26" s="140"/>
      <c r="H26" s="140"/>
      <c r="I26" s="133"/>
    </row>
    <row r="27" spans="3:9" ht="13.5">
      <c r="C27" s="140"/>
      <c r="D27" s="140"/>
      <c r="E27" s="140"/>
      <c r="F27" s="140"/>
      <c r="G27" s="140"/>
      <c r="H27" s="140"/>
      <c r="I27" s="133"/>
    </row>
    <row r="28" spans="2:9" ht="13.5">
      <c r="B28" s="134"/>
      <c r="C28" s="156"/>
      <c r="D28" s="133"/>
      <c r="E28" s="168" t="s">
        <v>42</v>
      </c>
      <c r="F28" s="168" t="s">
        <v>39</v>
      </c>
      <c r="G28" s="168" t="s">
        <v>40</v>
      </c>
      <c r="H28" s="133"/>
      <c r="I28" s="157" t="s">
        <v>2</v>
      </c>
    </row>
    <row r="29" spans="2:10" ht="14.25" thickBot="1">
      <c r="B29" s="158" t="s">
        <v>59</v>
      </c>
      <c r="C29" s="140"/>
      <c r="D29" s="140"/>
      <c r="E29" s="169">
        <v>2012</v>
      </c>
      <c r="F29" s="169">
        <v>2013</v>
      </c>
      <c r="G29" s="169">
        <v>2014</v>
      </c>
      <c r="H29" s="131"/>
      <c r="I29" s="157" t="s">
        <v>46</v>
      </c>
      <c r="J29" s="130"/>
    </row>
    <row r="30" spans="2:10" ht="13.5">
      <c r="B30" s="131" t="s">
        <v>60</v>
      </c>
      <c r="D30" s="159"/>
      <c r="E30" s="140">
        <v>0</v>
      </c>
      <c r="F30" s="140">
        <v>0</v>
      </c>
      <c r="G30" s="140">
        <f>H14/(I30-I31)</f>
        <v>19700000</v>
      </c>
      <c r="H30" s="138" t="s">
        <v>47</v>
      </c>
      <c r="I30" s="160">
        <v>0.09</v>
      </c>
      <c r="J30" s="161" t="s">
        <v>65</v>
      </c>
    </row>
    <row r="31" spans="2:10" ht="13.5">
      <c r="B31" s="161" t="s">
        <v>48</v>
      </c>
      <c r="D31" s="159"/>
      <c r="E31" s="150">
        <f>-E21</f>
        <v>0</v>
      </c>
      <c r="F31" s="150">
        <f>E21-F21</f>
        <v>0</v>
      </c>
      <c r="G31" s="150">
        <f>F21-G21</f>
        <v>-14614362.5</v>
      </c>
      <c r="H31" s="138" t="s">
        <v>49</v>
      </c>
      <c r="I31" s="160">
        <v>0</v>
      </c>
      <c r="J31" s="161" t="s">
        <v>66</v>
      </c>
    </row>
    <row r="32" spans="2:9" ht="15" customHeight="1" thickBot="1">
      <c r="B32" s="130" t="s">
        <v>62</v>
      </c>
      <c r="D32" s="159"/>
      <c r="E32" s="135">
        <f>E30+E31</f>
        <v>0</v>
      </c>
      <c r="F32" s="135">
        <f>F30+F31</f>
        <v>0</v>
      </c>
      <c r="G32" s="135">
        <f>G30+G31</f>
        <v>5085637.5</v>
      </c>
      <c r="H32" s="140"/>
      <c r="I32" s="133"/>
    </row>
    <row r="33" spans="2:10" s="130" customFormat="1" ht="14.25" thickBot="1">
      <c r="B33" s="162" t="s">
        <v>61</v>
      </c>
      <c r="C33" s="163">
        <v>0.15</v>
      </c>
      <c r="D33" s="159"/>
      <c r="E33" s="69">
        <f>NPV(C33,F32:G32)</f>
        <v>3845472.589792061</v>
      </c>
      <c r="F33" s="164"/>
      <c r="G33" s="135"/>
      <c r="H33" s="135"/>
      <c r="I33" s="133"/>
      <c r="J33" s="131"/>
    </row>
    <row r="34" spans="2:9" ht="14.25" thickBot="1">
      <c r="B34" s="165"/>
      <c r="C34" s="166"/>
      <c r="D34" s="159"/>
      <c r="E34" s="69">
        <f>ROUND(E33,-4)</f>
        <v>3850000</v>
      </c>
      <c r="F34" s="140"/>
      <c r="G34" s="140"/>
      <c r="H34" s="140"/>
      <c r="I34" s="133"/>
    </row>
    <row r="35" ht="15" customHeight="1"/>
    <row r="36" ht="15" customHeight="1"/>
    <row r="37" spans="2:26" s="132" customFormat="1" ht="15" customHeight="1">
      <c r="B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</row>
    <row r="38" spans="2:26" s="132" customFormat="1" ht="15" customHeight="1">
      <c r="B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</row>
    <row r="39" spans="2:26" s="132" customFormat="1" ht="15" customHeight="1">
      <c r="B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</row>
    <row r="40" spans="2:26" s="132" customFormat="1" ht="15" customHeight="1">
      <c r="B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</row>
    <row r="41" spans="2:26" s="132" customFormat="1" ht="15" customHeight="1">
      <c r="B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</row>
    <row r="42" spans="2:26" s="132" customFormat="1" ht="15" customHeight="1">
      <c r="B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</row>
    <row r="43" spans="2:26" s="132" customFormat="1" ht="15" customHeight="1">
      <c r="B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</row>
    <row r="44" spans="2:26" s="132" customFormat="1" ht="15" customHeight="1">
      <c r="B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</row>
    <row r="45" spans="2:26" s="132" customFormat="1" ht="15" customHeight="1">
      <c r="B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</row>
    <row r="46" spans="2:26" s="132" customFormat="1" ht="15" customHeight="1">
      <c r="B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</row>
    <row r="47" spans="2:26" s="132" customFormat="1" ht="15" customHeight="1">
      <c r="B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</row>
    <row r="48" spans="2:26" s="132" customFormat="1" ht="15" customHeight="1">
      <c r="B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</row>
    <row r="49" spans="2:26" s="132" customFormat="1" ht="15" customHeight="1">
      <c r="B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</row>
    <row r="50" spans="2:26" s="132" customFormat="1" ht="15" customHeight="1">
      <c r="B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</row>
    <row r="51" spans="2:26" s="132" customFormat="1" ht="15" customHeight="1">
      <c r="B51" s="167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</row>
    <row r="52" spans="2:26" s="132" customFormat="1" ht="15" customHeight="1">
      <c r="B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</row>
    <row r="53" spans="2:26" s="132" customFormat="1" ht="15" customHeight="1">
      <c r="B53" s="152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</row>
    <row r="54" spans="2:26" s="132" customFormat="1" ht="15" customHeight="1">
      <c r="B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</row>
    <row r="55" spans="2:26" s="132" customFormat="1" ht="15" customHeight="1">
      <c r="B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</row>
    <row r="56" spans="2:26" s="132" customFormat="1" ht="15" customHeight="1">
      <c r="B56" s="167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</row>
    <row r="57" spans="2:26" s="132" customFormat="1" ht="15" customHeight="1">
      <c r="B57" s="167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</row>
    <row r="58" spans="2:26" s="132" customFormat="1" ht="15" customHeight="1">
      <c r="B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</row>
    <row r="59" spans="2:26" s="132" customFormat="1" ht="15" customHeight="1">
      <c r="B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</row>
  </sheetData>
  <sheetProtection/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Gutes</dc:creator>
  <cp:keywords/>
  <dc:description/>
  <cp:lastModifiedBy>Vergara, Carles</cp:lastModifiedBy>
  <cp:lastPrinted>2012-12-10T11:46:00Z</cp:lastPrinted>
  <dcterms:created xsi:type="dcterms:W3CDTF">2006-10-03T20:10:59Z</dcterms:created>
  <dcterms:modified xsi:type="dcterms:W3CDTF">2019-10-09T23:24:57Z</dcterms:modified>
  <cp:category/>
  <cp:version/>
  <cp:contentType/>
  <cp:contentStatus/>
</cp:coreProperties>
</file>