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vergara\Dropbox (IESE)\99-OTHER IESE\BOOK - Timing_Marketability_Location\Excels_Online\"/>
    </mc:Choice>
  </mc:AlternateContent>
  <bookViews>
    <workbookView xWindow="0" yWindow="465" windowWidth="25605" windowHeight="14340" tabRatio="643"/>
  </bookViews>
  <sheets>
    <sheet name="Historic Performance" sheetId="1" r:id="rId1"/>
    <sheet name="Projected Performance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" l="1"/>
  <c r="D38" i="1"/>
  <c r="D55" i="2"/>
  <c r="G6" i="1"/>
  <c r="E3" i="1"/>
  <c r="F3" i="1"/>
  <c r="G3" i="1"/>
  <c r="G10" i="1"/>
  <c r="G13" i="1"/>
  <c r="G18" i="1"/>
  <c r="G25" i="1"/>
  <c r="G26" i="1"/>
  <c r="G29" i="1"/>
  <c r="G31" i="1"/>
  <c r="G33" i="1"/>
  <c r="G34" i="1"/>
  <c r="G35" i="1"/>
  <c r="G37" i="1"/>
  <c r="G38" i="1"/>
  <c r="G39" i="1"/>
  <c r="G47" i="1"/>
  <c r="F6" i="1"/>
  <c r="F10" i="1"/>
  <c r="F13" i="1"/>
  <c r="F18" i="1"/>
  <c r="F25" i="1"/>
  <c r="F26" i="1"/>
  <c r="F29" i="1"/>
  <c r="F31" i="1"/>
  <c r="F33" i="1"/>
  <c r="F34" i="1"/>
  <c r="F35" i="1"/>
  <c r="F37" i="1"/>
  <c r="F38" i="1"/>
  <c r="F39" i="1"/>
  <c r="F47" i="1"/>
  <c r="D6" i="1"/>
  <c r="D10" i="1"/>
  <c r="D13" i="1"/>
  <c r="D18" i="1"/>
  <c r="D25" i="1"/>
  <c r="D26" i="1"/>
  <c r="D29" i="1"/>
  <c r="D31" i="1"/>
  <c r="D33" i="1"/>
  <c r="D34" i="1"/>
  <c r="D35" i="1"/>
  <c r="D39" i="1"/>
  <c r="D47" i="1"/>
  <c r="E6" i="1"/>
  <c r="E10" i="1"/>
  <c r="E13" i="1"/>
  <c r="E18" i="1"/>
  <c r="E25" i="1"/>
  <c r="E26" i="1"/>
  <c r="E29" i="1"/>
  <c r="E31" i="1"/>
  <c r="E33" i="1"/>
  <c r="E34" i="1"/>
  <c r="E35" i="1"/>
  <c r="E37" i="1"/>
  <c r="E38" i="1"/>
  <c r="E39" i="1"/>
  <c r="E47" i="1"/>
  <c r="D46" i="1"/>
  <c r="G46" i="1"/>
  <c r="F46" i="1"/>
  <c r="E46" i="1"/>
  <c r="E45" i="1"/>
  <c r="G45" i="1"/>
  <c r="F45" i="1"/>
  <c r="E6" i="2"/>
  <c r="E8" i="2"/>
  <c r="E12" i="2"/>
  <c r="E13" i="2"/>
  <c r="E14" i="2"/>
  <c r="E15" i="2"/>
  <c r="E45" i="2"/>
  <c r="F4" i="2"/>
  <c r="G4" i="2"/>
  <c r="H4" i="2"/>
  <c r="I4" i="2"/>
  <c r="F6" i="2"/>
  <c r="G6" i="2"/>
  <c r="H6" i="2"/>
  <c r="I6" i="2"/>
  <c r="I8" i="2"/>
  <c r="I12" i="2"/>
  <c r="F13" i="2"/>
  <c r="G13" i="2"/>
  <c r="H13" i="2"/>
  <c r="I13" i="2"/>
  <c r="F14" i="2"/>
  <c r="G14" i="2"/>
  <c r="H14" i="2"/>
  <c r="I14" i="2"/>
  <c r="I15" i="2"/>
  <c r="I17" i="2"/>
  <c r="I18" i="2"/>
  <c r="I19" i="2"/>
  <c r="I20" i="2"/>
  <c r="I22" i="2"/>
  <c r="I23" i="2"/>
  <c r="I24" i="2"/>
  <c r="I25" i="2"/>
  <c r="I26" i="2"/>
  <c r="I27" i="2"/>
  <c r="I28" i="2"/>
  <c r="I30" i="2"/>
  <c r="I31" i="2"/>
  <c r="I32" i="2"/>
  <c r="I33" i="2"/>
  <c r="I34" i="2"/>
  <c r="I35" i="2"/>
  <c r="I36" i="2"/>
  <c r="I37" i="2"/>
  <c r="I39" i="2"/>
  <c r="I40" i="2"/>
  <c r="I41" i="2"/>
  <c r="I47" i="2"/>
  <c r="H8" i="2"/>
  <c r="H12" i="2"/>
  <c r="H15" i="2"/>
  <c r="H17" i="2"/>
  <c r="H18" i="2"/>
  <c r="H19" i="2"/>
  <c r="H20" i="2"/>
  <c r="H22" i="2"/>
  <c r="H23" i="2"/>
  <c r="H24" i="2"/>
  <c r="H25" i="2"/>
  <c r="H26" i="2"/>
  <c r="H27" i="2"/>
  <c r="H28" i="2"/>
  <c r="H30" i="2"/>
  <c r="H31" i="2"/>
  <c r="H32" i="2"/>
  <c r="H33" i="2"/>
  <c r="H34" i="2"/>
  <c r="H35" i="2"/>
  <c r="H36" i="2"/>
  <c r="H37" i="2"/>
  <c r="H39" i="2"/>
  <c r="H40" i="2"/>
  <c r="H41" i="2"/>
  <c r="H47" i="2"/>
  <c r="G8" i="2"/>
  <c r="G12" i="2"/>
  <c r="G15" i="2"/>
  <c r="G17" i="2"/>
  <c r="G18" i="2"/>
  <c r="G19" i="2"/>
  <c r="G20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9" i="2"/>
  <c r="G40" i="2"/>
  <c r="G41" i="2"/>
  <c r="G47" i="2"/>
  <c r="E17" i="2"/>
  <c r="E18" i="2"/>
  <c r="E19" i="2"/>
  <c r="E20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9" i="2"/>
  <c r="E40" i="2"/>
  <c r="E41" i="2"/>
  <c r="E47" i="2"/>
  <c r="F8" i="2"/>
  <c r="F12" i="2"/>
  <c r="F15" i="2"/>
  <c r="F17" i="2"/>
  <c r="F18" i="2"/>
  <c r="F19" i="2"/>
  <c r="F20" i="2"/>
  <c r="F22" i="2"/>
  <c r="F23" i="2"/>
  <c r="F24" i="2"/>
  <c r="F25" i="2"/>
  <c r="F26" i="2"/>
  <c r="F27" i="2"/>
  <c r="F28" i="2"/>
  <c r="F30" i="2"/>
  <c r="F31" i="2"/>
  <c r="F32" i="2"/>
  <c r="F33" i="2"/>
  <c r="F34" i="2"/>
  <c r="F35" i="2"/>
  <c r="F36" i="2"/>
  <c r="F37" i="2"/>
  <c r="F39" i="2"/>
  <c r="F40" i="2"/>
  <c r="F41" i="2"/>
  <c r="F47" i="2"/>
  <c r="E46" i="2"/>
  <c r="G46" i="2"/>
  <c r="H46" i="2"/>
  <c r="I46" i="2"/>
  <c r="F46" i="2"/>
  <c r="G45" i="2"/>
  <c r="H45" i="2"/>
  <c r="I45" i="2"/>
  <c r="F45" i="2"/>
  <c r="J26" i="2"/>
  <c r="J25" i="2"/>
  <c r="J24" i="2"/>
  <c r="J23" i="2"/>
  <c r="J22" i="2"/>
  <c r="L2" i="2"/>
  <c r="L3" i="2"/>
  <c r="P2" i="2"/>
  <c r="O2" i="2"/>
  <c r="N2" i="2"/>
  <c r="M2" i="2"/>
  <c r="F3" i="2"/>
  <c r="G3" i="2"/>
  <c r="H3" i="2"/>
  <c r="I3" i="2"/>
  <c r="P3" i="2"/>
  <c r="O3" i="2"/>
  <c r="N3" i="2"/>
  <c r="M3" i="2"/>
  <c r="J6" i="2"/>
  <c r="J5" i="2"/>
  <c r="J8" i="2"/>
  <c r="D67" i="2"/>
  <c r="D66" i="2"/>
  <c r="D65" i="2"/>
  <c r="D69" i="2"/>
  <c r="D70" i="2"/>
  <c r="D71" i="2"/>
  <c r="I52" i="2"/>
  <c r="I53" i="2"/>
  <c r="J4" i="2"/>
  <c r="J12" i="2"/>
  <c r="J13" i="2"/>
  <c r="J14" i="2"/>
  <c r="J15" i="2"/>
  <c r="J17" i="2"/>
  <c r="J18" i="2"/>
  <c r="J19" i="2"/>
  <c r="J20" i="2"/>
  <c r="J27" i="2"/>
  <c r="J28" i="2"/>
  <c r="J30" i="2"/>
  <c r="J31" i="2"/>
  <c r="J32" i="2"/>
  <c r="J33" i="2"/>
  <c r="J34" i="2"/>
  <c r="J35" i="2"/>
  <c r="J36" i="2"/>
  <c r="J37" i="2"/>
  <c r="J52" i="2"/>
  <c r="I56" i="2"/>
  <c r="I54" i="2"/>
  <c r="I57" i="2"/>
  <c r="H52" i="2"/>
  <c r="H53" i="2"/>
  <c r="H56" i="2"/>
  <c r="H54" i="2"/>
  <c r="H57" i="2"/>
  <c r="G52" i="2"/>
  <c r="G53" i="2"/>
  <c r="G56" i="2"/>
  <c r="G54" i="2"/>
  <c r="G57" i="2"/>
  <c r="F52" i="2"/>
  <c r="F53" i="2"/>
  <c r="F56" i="2"/>
  <c r="F54" i="2"/>
  <c r="F57" i="2"/>
  <c r="E52" i="2"/>
  <c r="E53" i="2"/>
  <c r="E56" i="2"/>
  <c r="E54" i="2"/>
  <c r="E57" i="2"/>
  <c r="I64" i="2"/>
  <c r="J64" i="2"/>
  <c r="K64" i="2"/>
  <c r="G64" i="2"/>
  <c r="F64" i="2"/>
  <c r="E64" i="2"/>
  <c r="D59" i="2"/>
  <c r="D64" i="2"/>
  <c r="D60" i="2"/>
  <c r="D61" i="2"/>
  <c r="C61" i="2"/>
  <c r="C60" i="2"/>
  <c r="I51" i="2"/>
  <c r="J51" i="2"/>
  <c r="D56" i="2"/>
  <c r="D57" i="2"/>
  <c r="H51" i="2"/>
  <c r="G51" i="2"/>
  <c r="F51" i="2"/>
  <c r="E51" i="2"/>
  <c r="J39" i="2"/>
  <c r="J40" i="2"/>
  <c r="J41" i="2"/>
</calcChain>
</file>

<file path=xl/sharedStrings.xml><?xml version="1.0" encoding="utf-8"?>
<sst xmlns="http://schemas.openxmlformats.org/spreadsheetml/2006/main" count="123" uniqueCount="77">
  <si>
    <t>Occupancy (%)</t>
  </si>
  <si>
    <t>Year 1</t>
  </si>
  <si>
    <t>RevPar (€)</t>
  </si>
  <si>
    <t>ADR (€)</t>
  </si>
  <si>
    <t>Revenues</t>
  </si>
  <si>
    <t>Room</t>
  </si>
  <si>
    <t>Food &amp; Beverage</t>
  </si>
  <si>
    <t>Other</t>
  </si>
  <si>
    <t>Departamental Expenses</t>
  </si>
  <si>
    <t>Rooms</t>
  </si>
  <si>
    <t>Total Departamental Expenses</t>
  </si>
  <si>
    <t>Undistributed Operating Expenses</t>
  </si>
  <si>
    <t>Administrative &amp; General*</t>
  </si>
  <si>
    <t>Sales &amp; Marketing</t>
  </si>
  <si>
    <t>Property Operations and Maintenance</t>
  </si>
  <si>
    <t>Utility Costs</t>
  </si>
  <si>
    <t>Total Undistributed Operating Expenses</t>
  </si>
  <si>
    <t>Gross Operating Profit</t>
  </si>
  <si>
    <t xml:space="preserve">Management Fees </t>
  </si>
  <si>
    <t>Total Management Fees</t>
  </si>
  <si>
    <t>Income Before Fixed Charges</t>
  </si>
  <si>
    <t>Total Non-Operating Expenses*</t>
  </si>
  <si>
    <t>Net Operating Income**</t>
  </si>
  <si>
    <t>Number of Rooms</t>
  </si>
  <si>
    <t>Total Operating Revenues</t>
  </si>
  <si>
    <t>Salaries &amp; Wages</t>
  </si>
  <si>
    <t>FF&amp;E reserve</t>
  </si>
  <si>
    <t>EBITDA</t>
  </si>
  <si>
    <t>Depreciation of the Building</t>
  </si>
  <si>
    <t>EBIT</t>
  </si>
  <si>
    <t>HOTEL PROJECTED PERFORMANCE</t>
  </si>
  <si>
    <t>P&amp;L (€'000)</t>
  </si>
  <si>
    <t>HISTORIC PERFORMANCE</t>
  </si>
  <si>
    <t>Year 2</t>
  </si>
  <si>
    <t>Year 3</t>
  </si>
  <si>
    <t>Year 4</t>
  </si>
  <si>
    <t>Year 5</t>
  </si>
  <si>
    <t>Financial Expenses</t>
  </si>
  <si>
    <t>EBT</t>
  </si>
  <si>
    <t>Taxes</t>
  </si>
  <si>
    <t>Net Income</t>
  </si>
  <si>
    <t>(6% of 27 €MM)</t>
  </si>
  <si>
    <t>Terminal V.</t>
  </si>
  <si>
    <t>Assumptions</t>
  </si>
  <si>
    <t>FCF Free cash flow</t>
  </si>
  <si>
    <t>for perpetuity</t>
  </si>
  <si>
    <t>K=</t>
  </si>
  <si>
    <t>- Variation of Net Assets</t>
  </si>
  <si>
    <t>g=</t>
  </si>
  <si>
    <t>FCF (CF assets)</t>
  </si>
  <si>
    <t xml:space="preserve">     IRR project</t>
  </si>
  <si>
    <t xml:space="preserve">     FCF after taxes</t>
  </si>
  <si>
    <t xml:space="preserve">     IRR after taxes</t>
  </si>
  <si>
    <t>Year 0</t>
  </si>
  <si>
    <t>PV Terminal Value</t>
  </si>
  <si>
    <t>PV FCF (w/Terminal V.)</t>
  </si>
  <si>
    <t>g</t>
  </si>
  <si>
    <t>*Includes Property and Other Taxes, Insurance and Non Operating Costs &amp; Gains.</t>
  </si>
  <si>
    <t>**Net operating income pre FF&amp;E Reserve.</t>
  </si>
  <si>
    <t>Net Operating Income</t>
  </si>
  <si>
    <t>PV FCF Project after Tax</t>
  </si>
  <si>
    <t>PV FCF Project after Tax Sensitivity Analysis</t>
  </si>
  <si>
    <t>ADR Growth per year</t>
  </si>
  <si>
    <t>Undistributed Operating Expenses (x Operating revenues)</t>
  </si>
  <si>
    <t>Management Fees (x Operating revenues)</t>
  </si>
  <si>
    <t>Total Non-Operating Expenses* (x Operating revenues)</t>
  </si>
  <si>
    <t>FF&amp;E reserve (x Operating revenues)</t>
  </si>
  <si>
    <t>Revenues Growth (yearly)</t>
  </si>
  <si>
    <t>Departamental Expenses (x Department Revenues)</t>
  </si>
  <si>
    <t>Profitability ratios</t>
  </si>
  <si>
    <t>Growth of sales</t>
  </si>
  <si>
    <t>ROS (Net income/Sales)</t>
  </si>
  <si>
    <t>Operating Margin / Sales</t>
  </si>
  <si>
    <t>-</t>
  </si>
  <si>
    <t>Historic Financial Performance of the Hotel</t>
  </si>
  <si>
    <t>Projected Financial Performance of the Hotel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</si>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</sst>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11"/>
      <color rgb="FF0432FF"/>
      <name val="Arial"/>
      <family val="2"/>
    </font>
    <font>
      <b/>
      <sz val="11"/>
      <color rgb="FF00B050"/>
      <name val="Arial"/>
      <family val="2"/>
    </font>
    <font>
      <sz val="11"/>
      <color rgb="FF0432FF"/>
      <name val="Arial"/>
      <family val="2"/>
    </font>
    <font>
      <u/>
      <sz val="11"/>
      <color theme="1"/>
      <name val="Arial"/>
      <family val="2"/>
    </font>
    <font>
      <b/>
      <i/>
      <sz val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2" applyFont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4" fontId="2" fillId="0" borderId="0" xfId="1" applyFont="1" applyAlignment="1">
      <alignment horizontal="center" vertical="center"/>
    </xf>
    <xf numFmtId="166" fontId="3" fillId="0" borderId="2" xfId="1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6" fontId="3" fillId="2" borderId="2" xfId="0" applyNumberFormat="1" applyFont="1" applyFill="1" applyBorder="1" applyAlignment="1">
      <alignment vertical="center"/>
    </xf>
    <xf numFmtId="10" fontId="2" fillId="0" borderId="0" xfId="2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 indent="2"/>
    </xf>
    <xf numFmtId="1" fontId="2" fillId="0" borderId="0" xfId="0" applyNumberFormat="1" applyFont="1" applyAlignment="1">
      <alignment vertical="center"/>
    </xf>
    <xf numFmtId="165" fontId="2" fillId="0" borderId="0" xfId="2" applyNumberFormat="1" applyFont="1" applyAlignment="1">
      <alignment vertical="center"/>
    </xf>
    <xf numFmtId="166" fontId="3" fillId="3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3" fontId="6" fillId="0" borderId="0" xfId="0" applyNumberFormat="1" applyFont="1" applyAlignment="1">
      <alignment horizontal="right"/>
    </xf>
    <xf numFmtId="3" fontId="7" fillId="0" borderId="0" xfId="0" quotePrefix="1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quotePrefix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6" fillId="0" borderId="0" xfId="0" applyFont="1" applyBorder="1"/>
    <xf numFmtId="0" fontId="7" fillId="0" borderId="0" xfId="0" applyFont="1" applyFill="1" applyBorder="1" applyAlignment="1">
      <alignment horizontal="center"/>
    </xf>
    <xf numFmtId="9" fontId="7" fillId="0" borderId="0" xfId="2" applyFont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66" fontId="6" fillId="0" borderId="0" xfId="1" applyNumberFormat="1" applyFont="1" applyAlignment="1">
      <alignment horizontal="center"/>
    </xf>
    <xf numFmtId="166" fontId="6" fillId="0" borderId="1" xfId="1" applyNumberFormat="1" applyFont="1" applyBorder="1" applyAlignment="1">
      <alignment horizontal="right"/>
    </xf>
    <xf numFmtId="166" fontId="7" fillId="0" borderId="0" xfId="1" applyNumberFormat="1" applyFont="1" applyAlignment="1">
      <alignment horizontal="right"/>
    </xf>
    <xf numFmtId="3" fontId="10" fillId="0" borderId="0" xfId="0" quotePrefix="1" applyNumberFormat="1" applyFont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3" fontId="7" fillId="0" borderId="0" xfId="0" quotePrefix="1" applyNumberFormat="1" applyFont="1" applyBorder="1" applyAlignment="1">
      <alignment horizontal="center"/>
    </xf>
    <xf numFmtId="9" fontId="3" fillId="0" borderId="0" xfId="0" applyNumberFormat="1" applyFont="1" applyAlignment="1">
      <alignment vertical="center"/>
    </xf>
    <xf numFmtId="165" fontId="11" fillId="0" borderId="0" xfId="2" applyNumberFormat="1" applyFont="1" applyFill="1" applyBorder="1" applyAlignment="1">
      <alignment horizontal="center"/>
    </xf>
    <xf numFmtId="166" fontId="2" fillId="0" borderId="0" xfId="0" applyNumberFormat="1" applyFont="1" applyAlignment="1">
      <alignment vertical="center"/>
    </xf>
    <xf numFmtId="166" fontId="2" fillId="0" borderId="6" xfId="0" applyNumberFormat="1" applyFont="1" applyBorder="1" applyAlignment="1">
      <alignment vertical="center"/>
    </xf>
    <xf numFmtId="9" fontId="1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5" fontId="2" fillId="0" borderId="5" xfId="2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9" fontId="13" fillId="0" borderId="0" xfId="0" applyNumberFormat="1" applyFont="1" applyAlignment="1">
      <alignment vertical="center"/>
    </xf>
    <xf numFmtId="166" fontId="6" fillId="0" borderId="0" xfId="1" applyNumberFormat="1" applyFont="1" applyAlignment="1">
      <alignment horizontal="right"/>
    </xf>
    <xf numFmtId="9" fontId="12" fillId="0" borderId="0" xfId="2" applyFont="1" applyAlignment="1">
      <alignment horizontal="center" vertical="center"/>
    </xf>
    <xf numFmtId="165" fontId="12" fillId="0" borderId="0" xfId="2" applyNumberFormat="1" applyFont="1" applyAlignment="1">
      <alignment vertical="center"/>
    </xf>
    <xf numFmtId="165" fontId="12" fillId="0" borderId="1" xfId="2" applyNumberFormat="1" applyFont="1" applyBorder="1" applyAlignment="1">
      <alignment vertical="center"/>
    </xf>
    <xf numFmtId="10" fontId="12" fillId="0" borderId="0" xfId="2" applyNumberFormat="1" applyFont="1" applyAlignment="1">
      <alignment horizontal="center" vertical="center"/>
    </xf>
    <xf numFmtId="10" fontId="12" fillId="0" borderId="0" xfId="2" applyNumberFormat="1" applyFont="1" applyFill="1" applyAlignment="1">
      <alignment horizontal="center" vertical="center"/>
    </xf>
    <xf numFmtId="164" fontId="12" fillId="0" borderId="0" xfId="1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9" fontId="8" fillId="0" borderId="0" xfId="2" applyFont="1" applyAlignment="1">
      <alignment horizontal="right"/>
    </xf>
    <xf numFmtId="9" fontId="8" fillId="0" borderId="0" xfId="0" applyNumberFormat="1" applyFont="1" applyAlignment="1">
      <alignment horizontal="right"/>
    </xf>
    <xf numFmtId="0" fontId="14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9" fontId="8" fillId="0" borderId="1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9" fillId="2" borderId="2" xfId="0" applyFont="1" applyFill="1" applyBorder="1"/>
    <xf numFmtId="0" fontId="15" fillId="0" borderId="0" xfId="0" applyFont="1" applyAlignment="1">
      <alignment vertical="center"/>
    </xf>
    <xf numFmtId="166" fontId="7" fillId="4" borderId="3" xfId="1" applyNumberFormat="1" applyFont="1" applyFill="1" applyBorder="1"/>
    <xf numFmtId="165" fontId="7" fillId="4" borderId="4" xfId="2" applyNumberFormat="1" applyFont="1" applyFill="1" applyBorder="1" applyAlignment="1">
      <alignment horizontal="center"/>
    </xf>
    <xf numFmtId="165" fontId="7" fillId="0" borderId="3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9" fontId="7" fillId="0" borderId="0" xfId="2" applyFont="1" applyAlignment="1">
      <alignment horizontal="center"/>
    </xf>
    <xf numFmtId="166" fontId="3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1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zoomScale="80" zoomScaleNormal="80" workbookViewId="0"/>
  </sheetViews>
  <sheetFormatPr defaultColWidth="10.875" defaultRowHeight="13.5" x14ac:dyDescent="0.5"/>
  <cols>
    <col min="1" max="1" width="2.625" style="2" customWidth="1"/>
    <col min="2" max="2" width="36.125" style="2" customWidth="1"/>
    <col min="3" max="3" width="14.125" style="2" bestFit="1" customWidth="1"/>
    <col min="4" max="7" width="9.75" style="2" customWidth="1"/>
    <col min="8" max="16384" width="10.875" style="2"/>
  </cols>
  <sheetData>
    <row r="1" spans="2:12" ht="21.95" customHeight="1" x14ac:dyDescent="0.5">
      <c r="B1" s="80" t="s">
        <v>74</v>
      </c>
    </row>
    <row r="2" spans="2:12" ht="21.95" customHeight="1" x14ac:dyDescent="0.5">
      <c r="B2" s="12" t="s">
        <v>32</v>
      </c>
      <c r="C2" s="12"/>
      <c r="D2" s="78">
        <v>2012</v>
      </c>
      <c r="E2" s="78">
        <v>2013</v>
      </c>
      <c r="F2" s="78">
        <v>2014</v>
      </c>
      <c r="G2" s="78">
        <v>2015</v>
      </c>
    </row>
    <row r="3" spans="2:12" x14ac:dyDescent="0.5">
      <c r="B3" s="2" t="s">
        <v>23</v>
      </c>
      <c r="D3" s="3">
        <v>240</v>
      </c>
      <c r="E3" s="3">
        <f>+D3</f>
        <v>240</v>
      </c>
      <c r="F3" s="3">
        <f t="shared" ref="F3:G3" si="0">+E3</f>
        <v>240</v>
      </c>
      <c r="G3" s="3">
        <f t="shared" si="0"/>
        <v>240</v>
      </c>
    </row>
    <row r="4" spans="2:12" x14ac:dyDescent="0.5">
      <c r="B4" s="2" t="s">
        <v>0</v>
      </c>
      <c r="D4" s="14">
        <v>0.77115981907049402</v>
      </c>
      <c r="E4" s="14">
        <v>0.82450000000000001</v>
      </c>
      <c r="F4" s="14">
        <v>0.83009999999999995</v>
      </c>
      <c r="G4" s="14">
        <v>0.83373192870213375</v>
      </c>
    </row>
    <row r="5" spans="2:12" x14ac:dyDescent="0.5">
      <c r="B5" s="2" t="s">
        <v>3</v>
      </c>
      <c r="D5" s="15">
        <v>160.94999999999999</v>
      </c>
      <c r="E5" s="15">
        <v>162.33000000000001</v>
      </c>
      <c r="F5" s="15">
        <v>166.24</v>
      </c>
      <c r="G5" s="15">
        <v>174.136</v>
      </c>
      <c r="H5" s="15"/>
      <c r="I5" s="15"/>
      <c r="J5" s="15"/>
      <c r="K5" s="15"/>
      <c r="L5" s="15"/>
    </row>
    <row r="6" spans="2:12" x14ac:dyDescent="0.5">
      <c r="B6" s="6" t="s">
        <v>2</v>
      </c>
      <c r="C6" s="6"/>
      <c r="D6" s="16">
        <f>+D5*D4</f>
        <v>124.118172879396</v>
      </c>
      <c r="E6" s="16">
        <f t="shared" ref="E6:G6" si="1">+E5*E4</f>
        <v>133.84108500000002</v>
      </c>
      <c r="F6" s="16">
        <f t="shared" si="1"/>
        <v>137.995824</v>
      </c>
      <c r="G6" s="16">
        <f t="shared" si="1"/>
        <v>145.18274313647476</v>
      </c>
      <c r="H6" s="20"/>
      <c r="I6" s="20"/>
      <c r="J6" s="20"/>
      <c r="K6" s="20"/>
      <c r="L6" s="20"/>
    </row>
    <row r="7" spans="2:12" ht="9" customHeight="1" x14ac:dyDescent="0.5">
      <c r="B7" s="22"/>
      <c r="C7" s="22"/>
      <c r="D7" s="23"/>
      <c r="E7" s="23"/>
      <c r="F7" s="23"/>
      <c r="G7" s="23"/>
    </row>
    <row r="8" spans="2:12" ht="13.9" x14ac:dyDescent="0.5">
      <c r="B8" s="24" t="s">
        <v>31</v>
      </c>
      <c r="C8" s="24"/>
      <c r="D8" s="25"/>
      <c r="E8" s="25"/>
      <c r="F8" s="25"/>
      <c r="G8" s="25"/>
    </row>
    <row r="9" spans="2:12" ht="13.9" x14ac:dyDescent="0.5">
      <c r="B9" s="1" t="s">
        <v>4</v>
      </c>
      <c r="D9" s="10"/>
      <c r="E9" s="10"/>
      <c r="F9" s="10"/>
      <c r="G9" s="10"/>
    </row>
    <row r="10" spans="2:12" x14ac:dyDescent="0.5">
      <c r="B10" s="18" t="s">
        <v>5</v>
      </c>
      <c r="D10" s="7">
        <f>+D6*D3*366/1000</f>
        <v>10902.540305726145</v>
      </c>
      <c r="E10" s="7">
        <f>+E6*E3*365/1000</f>
        <v>11724.479046000002</v>
      </c>
      <c r="F10" s="7">
        <f>+F6*F3*365/1000</f>
        <v>12088.434182399998</v>
      </c>
      <c r="G10" s="7">
        <f>+G6*G3*365/1000</f>
        <v>12718.008298755189</v>
      </c>
      <c r="J10" s="19"/>
    </row>
    <row r="11" spans="2:12" x14ac:dyDescent="0.5">
      <c r="B11" s="18" t="s">
        <v>6</v>
      </c>
      <c r="D11" s="7">
        <v>3866.6</v>
      </c>
      <c r="E11" s="7">
        <v>3844</v>
      </c>
      <c r="F11" s="7">
        <v>4378</v>
      </c>
      <c r="G11" s="7">
        <v>4454</v>
      </c>
    </row>
    <row r="12" spans="2:12" x14ac:dyDescent="0.5">
      <c r="B12" s="18" t="s">
        <v>7</v>
      </c>
      <c r="D12" s="7">
        <v>759</v>
      </c>
      <c r="E12" s="7">
        <v>618</v>
      </c>
      <c r="F12" s="7">
        <v>783</v>
      </c>
      <c r="G12" s="7">
        <v>612.5</v>
      </c>
    </row>
    <row r="13" spans="2:12" ht="13.9" x14ac:dyDescent="0.5">
      <c r="B13" s="8" t="s">
        <v>24</v>
      </c>
      <c r="C13" s="8"/>
      <c r="D13" s="9">
        <f>+SUM(D10:D12)</f>
        <v>15528.140305726145</v>
      </c>
      <c r="E13" s="9">
        <f t="shared" ref="E13:G13" si="2">+SUM(E10:E12)</f>
        <v>16186.479046000002</v>
      </c>
      <c r="F13" s="9">
        <f t="shared" si="2"/>
        <v>17249.4341824</v>
      </c>
      <c r="G13" s="9">
        <f t="shared" si="2"/>
        <v>17784.508298755187</v>
      </c>
    </row>
    <row r="14" spans="2:12" ht="13.9" x14ac:dyDescent="0.5">
      <c r="B14" s="1" t="s">
        <v>8</v>
      </c>
      <c r="D14" s="10"/>
      <c r="E14" s="10"/>
      <c r="F14" s="10"/>
      <c r="G14" s="10"/>
    </row>
    <row r="15" spans="2:12" x14ac:dyDescent="0.5">
      <c r="B15" s="18" t="s">
        <v>9</v>
      </c>
      <c r="D15" s="7">
        <v>3444.4</v>
      </c>
      <c r="E15" s="7">
        <v>3778</v>
      </c>
      <c r="F15" s="7">
        <v>3712.4</v>
      </c>
      <c r="G15" s="7">
        <v>3793</v>
      </c>
    </row>
    <row r="16" spans="2:12" x14ac:dyDescent="0.5">
      <c r="B16" s="18" t="s">
        <v>6</v>
      </c>
      <c r="D16" s="7">
        <v>3227</v>
      </c>
      <c r="E16" s="7">
        <v>3015</v>
      </c>
      <c r="F16" s="7">
        <v>3292.4</v>
      </c>
      <c r="G16" s="7">
        <v>3384.4</v>
      </c>
    </row>
    <row r="17" spans="2:7" x14ac:dyDescent="0.5">
      <c r="B17" s="18" t="s">
        <v>7</v>
      </c>
      <c r="D17" s="7">
        <v>369</v>
      </c>
      <c r="E17" s="7">
        <v>284</v>
      </c>
      <c r="F17" s="7">
        <v>373</v>
      </c>
      <c r="G17" s="7">
        <v>302</v>
      </c>
    </row>
    <row r="18" spans="2:7" ht="13.9" x14ac:dyDescent="0.5">
      <c r="B18" s="8" t="s">
        <v>10</v>
      </c>
      <c r="C18" s="8"/>
      <c r="D18" s="11">
        <f>+SUM(D15:D17)</f>
        <v>7040.4</v>
      </c>
      <c r="E18" s="11">
        <f t="shared" ref="E18:G18" si="3">+SUM(E15:E17)</f>
        <v>7077</v>
      </c>
      <c r="F18" s="11">
        <f t="shared" si="3"/>
        <v>7377.8</v>
      </c>
      <c r="G18" s="11">
        <f t="shared" si="3"/>
        <v>7479.4</v>
      </c>
    </row>
    <row r="19" spans="2:7" ht="13.9" x14ac:dyDescent="0.5">
      <c r="B19" s="1" t="s">
        <v>11</v>
      </c>
      <c r="D19" s="10"/>
      <c r="E19" s="10"/>
      <c r="F19" s="10"/>
      <c r="G19" s="10"/>
    </row>
    <row r="20" spans="2:7" x14ac:dyDescent="0.5">
      <c r="B20" s="18" t="s">
        <v>25</v>
      </c>
      <c r="D20" s="7">
        <v>1020.4</v>
      </c>
      <c r="E20" s="7">
        <v>1003</v>
      </c>
      <c r="F20" s="7">
        <v>944</v>
      </c>
      <c r="G20" s="7">
        <v>997</v>
      </c>
    </row>
    <row r="21" spans="2:7" x14ac:dyDescent="0.5">
      <c r="B21" s="18" t="s">
        <v>12</v>
      </c>
      <c r="D21" s="7">
        <v>590.4</v>
      </c>
      <c r="E21" s="7">
        <v>694</v>
      </c>
      <c r="F21" s="7">
        <v>674</v>
      </c>
      <c r="G21" s="7">
        <v>677.4</v>
      </c>
    </row>
    <row r="22" spans="2:7" x14ac:dyDescent="0.5">
      <c r="B22" s="18" t="s">
        <v>13</v>
      </c>
      <c r="D22" s="7">
        <v>583</v>
      </c>
      <c r="E22" s="7">
        <v>581</v>
      </c>
      <c r="F22" s="7">
        <v>669</v>
      </c>
      <c r="G22" s="7">
        <v>509.2</v>
      </c>
    </row>
    <row r="23" spans="2:7" x14ac:dyDescent="0.5">
      <c r="B23" s="18" t="s">
        <v>14</v>
      </c>
      <c r="D23" s="7">
        <v>586</v>
      </c>
      <c r="E23" s="7">
        <v>597</v>
      </c>
      <c r="F23" s="7">
        <v>571</v>
      </c>
      <c r="G23" s="7">
        <v>600.4</v>
      </c>
    </row>
    <row r="24" spans="2:7" x14ac:dyDescent="0.5">
      <c r="B24" s="18" t="s">
        <v>15</v>
      </c>
      <c r="D24" s="7">
        <v>541</v>
      </c>
      <c r="E24" s="7">
        <v>516</v>
      </c>
      <c r="F24" s="7">
        <v>518.4</v>
      </c>
      <c r="G24" s="7">
        <v>488.4</v>
      </c>
    </row>
    <row r="25" spans="2:7" ht="13.9" x14ac:dyDescent="0.5">
      <c r="B25" s="8" t="s">
        <v>16</v>
      </c>
      <c r="C25" s="8"/>
      <c r="D25" s="11">
        <f>+SUM(D20:D24)</f>
        <v>3320.8</v>
      </c>
      <c r="E25" s="11">
        <f t="shared" ref="E25:G25" si="4">+SUM(E20:E24)</f>
        <v>3391</v>
      </c>
      <c r="F25" s="11">
        <f t="shared" si="4"/>
        <v>3376.4</v>
      </c>
      <c r="G25" s="11">
        <f t="shared" si="4"/>
        <v>3272.4</v>
      </c>
    </row>
    <row r="26" spans="2:7" ht="13.9" x14ac:dyDescent="0.5">
      <c r="B26" s="12" t="s">
        <v>17</v>
      </c>
      <c r="C26" s="12"/>
      <c r="D26" s="13">
        <f>+D13-D18-D25</f>
        <v>5166.9403057261452</v>
      </c>
      <c r="E26" s="13">
        <f t="shared" ref="E26:G26" si="5">+E13-E18-E25</f>
        <v>5718.4790460000022</v>
      </c>
      <c r="F26" s="13">
        <f t="shared" si="5"/>
        <v>6495.2341824000014</v>
      </c>
      <c r="G26" s="13">
        <f t="shared" si="5"/>
        <v>7032.7082987551876</v>
      </c>
    </row>
    <row r="27" spans="2:7" ht="13.9" x14ac:dyDescent="0.5">
      <c r="B27" s="1" t="s">
        <v>18</v>
      </c>
      <c r="D27" s="10"/>
      <c r="E27" s="10"/>
      <c r="F27" s="10"/>
      <c r="G27" s="10"/>
    </row>
    <row r="28" spans="2:7" x14ac:dyDescent="0.5">
      <c r="B28" s="18" t="s">
        <v>19</v>
      </c>
      <c r="D28" s="7">
        <v>468</v>
      </c>
      <c r="E28" s="7">
        <v>525</v>
      </c>
      <c r="F28" s="7">
        <v>595</v>
      </c>
      <c r="G28" s="7">
        <v>703.6</v>
      </c>
    </row>
    <row r="29" spans="2:7" ht="13.9" x14ac:dyDescent="0.5">
      <c r="B29" s="8" t="s">
        <v>20</v>
      </c>
      <c r="C29" s="8"/>
      <c r="D29" s="9">
        <f>+D26-D28</f>
        <v>4698.9403057261452</v>
      </c>
      <c r="E29" s="9">
        <f t="shared" ref="E29:G29" si="6">+E26-E28</f>
        <v>5193.4790460000022</v>
      </c>
      <c r="F29" s="9">
        <f t="shared" si="6"/>
        <v>5900.2341824000014</v>
      </c>
      <c r="G29" s="9">
        <f t="shared" si="6"/>
        <v>6329.1082987551872</v>
      </c>
    </row>
    <row r="30" spans="2:7" x14ac:dyDescent="0.5">
      <c r="B30" s="2" t="s">
        <v>21</v>
      </c>
      <c r="D30" s="7">
        <v>485</v>
      </c>
      <c r="E30" s="7">
        <v>675</v>
      </c>
      <c r="F30" s="7">
        <v>680</v>
      </c>
      <c r="G30" s="7">
        <v>686.4</v>
      </c>
    </row>
    <row r="31" spans="2:7" ht="13.9" x14ac:dyDescent="0.5">
      <c r="B31" s="8" t="s">
        <v>22</v>
      </c>
      <c r="C31" s="8"/>
      <c r="D31" s="9">
        <f>+D29-D30</f>
        <v>4213.9403057261452</v>
      </c>
      <c r="E31" s="9">
        <f t="shared" ref="E31:G31" si="7">+E29-E30</f>
        <v>4518.4790460000022</v>
      </c>
      <c r="F31" s="9">
        <f t="shared" si="7"/>
        <v>5220.2341824000014</v>
      </c>
      <c r="G31" s="9">
        <f t="shared" si="7"/>
        <v>5642.7082987551876</v>
      </c>
    </row>
    <row r="32" spans="2:7" x14ac:dyDescent="0.5">
      <c r="B32" s="18" t="s">
        <v>26</v>
      </c>
      <c r="D32" s="7">
        <v>790</v>
      </c>
      <c r="E32" s="7">
        <v>790</v>
      </c>
      <c r="F32" s="7">
        <v>792</v>
      </c>
      <c r="G32" s="7">
        <v>800</v>
      </c>
    </row>
    <row r="33" spans="1:7" ht="13.9" x14ac:dyDescent="0.5">
      <c r="B33" s="17" t="s">
        <v>27</v>
      </c>
      <c r="C33" s="17"/>
      <c r="D33" s="21">
        <f>+D31-D32</f>
        <v>3423.9403057261452</v>
      </c>
      <c r="E33" s="21">
        <f t="shared" ref="E33:G33" si="8">+E31-E32</f>
        <v>3728.4790460000022</v>
      </c>
      <c r="F33" s="21">
        <f t="shared" si="8"/>
        <v>4428.2341824000014</v>
      </c>
      <c r="G33" s="21">
        <f t="shared" si="8"/>
        <v>4842.7082987551876</v>
      </c>
    </row>
    <row r="34" spans="1:7" x14ac:dyDescent="0.5">
      <c r="B34" s="18" t="s">
        <v>28</v>
      </c>
      <c r="C34" s="2" t="s">
        <v>41</v>
      </c>
      <c r="D34" s="7">
        <f>28000*6%</f>
        <v>1680</v>
      </c>
      <c r="E34" s="7">
        <f t="shared" ref="E34:G34" si="9">28000*6%</f>
        <v>1680</v>
      </c>
      <c r="F34" s="7">
        <f t="shared" si="9"/>
        <v>1680</v>
      </c>
      <c r="G34" s="7">
        <f t="shared" si="9"/>
        <v>1680</v>
      </c>
    </row>
    <row r="35" spans="1:7" ht="13.9" x14ac:dyDescent="0.5">
      <c r="B35" s="17" t="s">
        <v>29</v>
      </c>
      <c r="C35" s="17"/>
      <c r="D35" s="21">
        <f>+D33-D34</f>
        <v>1743.9403057261452</v>
      </c>
      <c r="E35" s="21">
        <f t="shared" ref="E35:G35" si="10">+E33-E34</f>
        <v>2048.4790460000022</v>
      </c>
      <c r="F35" s="21">
        <f t="shared" si="10"/>
        <v>2748.2341824000014</v>
      </c>
      <c r="G35" s="21">
        <f t="shared" si="10"/>
        <v>3162.7082987551876</v>
      </c>
    </row>
    <row r="36" spans="1:7" x14ac:dyDescent="0.5">
      <c r="B36" s="18" t="s">
        <v>37</v>
      </c>
      <c r="D36" s="5">
        <v>0</v>
      </c>
      <c r="E36" s="5">
        <v>0</v>
      </c>
      <c r="F36" s="5">
        <v>0</v>
      </c>
      <c r="G36" s="5">
        <v>0</v>
      </c>
    </row>
    <row r="37" spans="1:7" ht="13.9" x14ac:dyDescent="0.5">
      <c r="B37" s="8" t="s">
        <v>38</v>
      </c>
      <c r="C37" s="8"/>
      <c r="D37" s="9">
        <f>+D35-D36</f>
        <v>1743.9403057261452</v>
      </c>
      <c r="E37" s="9">
        <f t="shared" ref="E37:G37" si="11">+E35-E36</f>
        <v>2048.4790460000022</v>
      </c>
      <c r="F37" s="9">
        <f t="shared" si="11"/>
        <v>2748.2341824000014</v>
      </c>
      <c r="G37" s="9">
        <f t="shared" si="11"/>
        <v>3162.7082987551876</v>
      </c>
    </row>
    <row r="38" spans="1:7" x14ac:dyDescent="0.5">
      <c r="B38" s="18" t="s">
        <v>39</v>
      </c>
      <c r="C38" s="26">
        <v>0.35</v>
      </c>
      <c r="D38" s="7">
        <f>+D37*$C$38</f>
        <v>610.3791070041508</v>
      </c>
      <c r="E38" s="7">
        <f t="shared" ref="E38:G38" si="12">+E37*$C$38</f>
        <v>716.96766610000077</v>
      </c>
      <c r="F38" s="7">
        <f t="shared" si="12"/>
        <v>961.88196384000037</v>
      </c>
      <c r="G38" s="7">
        <f t="shared" si="12"/>
        <v>1106.9479045643156</v>
      </c>
    </row>
    <row r="39" spans="1:7" ht="13.9" x14ac:dyDescent="0.5">
      <c r="B39" s="17" t="s">
        <v>40</v>
      </c>
      <c r="C39" s="17"/>
      <c r="D39" s="21">
        <f>+D37-D38</f>
        <v>1133.5611987219945</v>
      </c>
      <c r="E39" s="21">
        <f t="shared" ref="E39:G39" si="13">+E37-E38</f>
        <v>1331.5113799000014</v>
      </c>
      <c r="F39" s="21">
        <f t="shared" si="13"/>
        <v>1786.3522185600009</v>
      </c>
      <c r="G39" s="21">
        <f t="shared" si="13"/>
        <v>2055.7603941908719</v>
      </c>
    </row>
    <row r="41" spans="1:7" x14ac:dyDescent="0.5">
      <c r="B41" s="2" t="s">
        <v>57</v>
      </c>
    </row>
    <row r="42" spans="1:7" x14ac:dyDescent="0.5">
      <c r="B42" s="2" t="s">
        <v>58</v>
      </c>
    </row>
    <row r="44" spans="1:7" ht="13.9" x14ac:dyDescent="0.4">
      <c r="A44" s="27"/>
      <c r="B44" s="72" t="s">
        <v>69</v>
      </c>
      <c r="C44" s="73"/>
      <c r="D44" s="67"/>
      <c r="E44" s="67"/>
      <c r="F44" s="67"/>
      <c r="G44" s="67"/>
    </row>
    <row r="45" spans="1:7" ht="13.9" x14ac:dyDescent="0.4">
      <c r="A45" s="27"/>
      <c r="B45" s="66" t="s">
        <v>70</v>
      </c>
      <c r="C45" s="68"/>
      <c r="D45" s="69" t="s">
        <v>73</v>
      </c>
      <c r="E45" s="70">
        <f>E13/D13-1</f>
        <v>4.2396496123305205E-2</v>
      </c>
      <c r="F45" s="70">
        <f>F13/E13-1</f>
        <v>6.5669323969666848E-2</v>
      </c>
      <c r="G45" s="70">
        <f>G13/F13-1</f>
        <v>3.1019806835237196E-2</v>
      </c>
    </row>
    <row r="46" spans="1:7" ht="13.9" x14ac:dyDescent="0.4">
      <c r="A46" s="27"/>
      <c r="B46" s="66" t="s">
        <v>72</v>
      </c>
      <c r="C46" s="68"/>
      <c r="D46" s="71">
        <f>D26/D13</f>
        <v>0.33274688430145033</v>
      </c>
      <c r="E46" s="71">
        <f>E26/E13</f>
        <v>0.35328739682971083</v>
      </c>
      <c r="F46" s="71">
        <f t="shared" ref="F46:G46" si="14">F26/F13</f>
        <v>0.37654766606937407</v>
      </c>
      <c r="G46" s="71">
        <f t="shared" si="14"/>
        <v>0.39544013141186685</v>
      </c>
    </row>
    <row r="47" spans="1:7" ht="13.9" x14ac:dyDescent="0.4">
      <c r="A47" s="27"/>
      <c r="B47" s="74" t="s">
        <v>71</v>
      </c>
      <c r="C47" s="75"/>
      <c r="D47" s="77">
        <f t="shared" ref="D47" si="15">D39/D13</f>
        <v>7.3000447986935266E-2</v>
      </c>
      <c r="E47" s="77">
        <f>E39/E13</f>
        <v>8.2260717486243196E-2</v>
      </c>
      <c r="F47" s="77">
        <f t="shared" ref="F47:G47" si="16">F39/F13</f>
        <v>0.1035600472265147</v>
      </c>
      <c r="G47" s="77">
        <f t="shared" si="16"/>
        <v>0.11559275970169855</v>
      </c>
    </row>
    <row r="50" spans="1:1" x14ac:dyDescent="0.35">
      <c r="A50" s="27"/>
    </row>
    <row r="51" spans="1:1" ht="13.9" x14ac:dyDescent="0.4">
      <c r="A51" s="30"/>
    </row>
    <row r="52" spans="1:1" x14ac:dyDescent="0.35">
      <c r="A52" s="27"/>
    </row>
    <row r="53" spans="1:1" x14ac:dyDescent="0.35">
      <c r="A53" s="34"/>
    </row>
    <row r="54" spans="1:1" ht="13.9" x14ac:dyDescent="0.4">
      <c r="A54" s="35"/>
    </row>
    <row r="55" spans="1:1" ht="13.9" x14ac:dyDescent="0.4">
      <c r="A55" s="35"/>
    </row>
    <row r="56" spans="1:1" x14ac:dyDescent="0.35">
      <c r="A56" s="40"/>
    </row>
    <row r="57" spans="1:1" ht="13.9" x14ac:dyDescent="0.4">
      <c r="A57" s="41"/>
    </row>
  </sheetData>
  <pageMargins left="0.7" right="0.7" top="0.75" bottom="0.75" header="0.3" footer="0.3"/>
  <pageSetup scale="91" orientation="portrait" horizontalDpi="1200" verticalDpi="1200" r:id="rId1"/>
  <ignoredErrors>
    <ignoredError sqref="D34:G36 E38:G38 E37:G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zoomScale="80" zoomScaleNormal="80" zoomScaleSheetLayoutView="80" workbookViewId="0"/>
  </sheetViews>
  <sheetFormatPr defaultColWidth="10.875" defaultRowHeight="13.5" x14ac:dyDescent="0.5"/>
  <cols>
    <col min="1" max="1" width="2.625" style="2" customWidth="1"/>
    <col min="2" max="2" width="33.625" style="2" bestFit="1" customWidth="1"/>
    <col min="3" max="4" width="12.625" style="2" customWidth="1"/>
    <col min="5" max="10" width="10.6875" style="2" customWidth="1"/>
    <col min="11" max="11" width="12.625" style="2" customWidth="1"/>
    <col min="12" max="16" width="9.125" style="2" customWidth="1"/>
    <col min="17" max="16384" width="10.875" style="2"/>
  </cols>
  <sheetData>
    <row r="1" spans="2:16" ht="21.95" customHeight="1" x14ac:dyDescent="0.5">
      <c r="B1" s="80" t="s">
        <v>75</v>
      </c>
      <c r="C1" s="1"/>
    </row>
    <row r="2" spans="2:16" ht="13.9" x14ac:dyDescent="0.5">
      <c r="B2" s="1"/>
      <c r="C2" s="1"/>
      <c r="E2" s="43"/>
      <c r="F2" s="43"/>
      <c r="G2" s="43"/>
      <c r="H2" s="43"/>
      <c r="I2" s="43"/>
      <c r="L2" s="1">
        <f t="shared" ref="L2:P3" si="0">+E2</f>
        <v>0</v>
      </c>
      <c r="M2" s="1">
        <f t="shared" si="0"/>
        <v>0</v>
      </c>
      <c r="N2" s="1">
        <f t="shared" si="0"/>
        <v>0</v>
      </c>
      <c r="O2" s="1">
        <f t="shared" si="0"/>
        <v>0</v>
      </c>
      <c r="P2" s="1">
        <f t="shared" si="0"/>
        <v>0</v>
      </c>
    </row>
    <row r="3" spans="2:16" ht="21.95" customHeight="1" x14ac:dyDescent="0.5">
      <c r="B3" s="12" t="s">
        <v>30</v>
      </c>
      <c r="C3" s="12"/>
      <c r="D3" s="12"/>
      <c r="E3" s="78">
        <v>2016</v>
      </c>
      <c r="F3" s="78">
        <f>+E3+1</f>
        <v>2017</v>
      </c>
      <c r="G3" s="78">
        <f t="shared" ref="G3:I3" si="1">+F3+1</f>
        <v>2018</v>
      </c>
      <c r="H3" s="78">
        <f t="shared" si="1"/>
        <v>2019</v>
      </c>
      <c r="I3" s="78">
        <f t="shared" si="1"/>
        <v>2020</v>
      </c>
      <c r="J3" s="78">
        <v>2021</v>
      </c>
      <c r="L3" s="78">
        <f t="shared" si="0"/>
        <v>2016</v>
      </c>
      <c r="M3" s="78">
        <f t="shared" si="0"/>
        <v>2017</v>
      </c>
      <c r="N3" s="78">
        <f t="shared" si="0"/>
        <v>2018</v>
      </c>
      <c r="O3" s="78">
        <f t="shared" si="0"/>
        <v>2019</v>
      </c>
      <c r="P3" s="78">
        <f t="shared" si="0"/>
        <v>2020</v>
      </c>
    </row>
    <row r="4" spans="2:16" x14ac:dyDescent="0.5">
      <c r="B4" s="2" t="s">
        <v>23</v>
      </c>
      <c r="E4" s="3">
        <v>240</v>
      </c>
      <c r="F4" s="3">
        <f>+E4</f>
        <v>240</v>
      </c>
      <c r="G4" s="3">
        <f t="shared" ref="G4:H4" si="2">+F4</f>
        <v>240</v>
      </c>
      <c r="H4" s="3">
        <f t="shared" si="2"/>
        <v>240</v>
      </c>
      <c r="I4" s="3">
        <f t="shared" ref="I4" si="3">+H4</f>
        <v>240</v>
      </c>
      <c r="J4" s="3">
        <f>+I4</f>
        <v>240</v>
      </c>
    </row>
    <row r="5" spans="2:16" x14ac:dyDescent="0.5">
      <c r="B5" s="2" t="s">
        <v>0</v>
      </c>
      <c r="E5" s="63">
        <v>0.80500000000000005</v>
      </c>
      <c r="F5" s="63">
        <v>0.81499999999999995</v>
      </c>
      <c r="G5" s="63">
        <v>0.82</v>
      </c>
      <c r="H5" s="63">
        <v>0.82499999999999996</v>
      </c>
      <c r="I5" s="64">
        <v>0.83</v>
      </c>
      <c r="J5" s="64">
        <f>+I5</f>
        <v>0.83</v>
      </c>
      <c r="K5" s="20"/>
      <c r="L5" s="20"/>
      <c r="M5" s="20"/>
      <c r="N5" s="20"/>
      <c r="O5" s="20"/>
    </row>
    <row r="6" spans="2:16" x14ac:dyDescent="0.5">
      <c r="B6" s="2" t="s">
        <v>3</v>
      </c>
      <c r="E6" s="15">
        <f>+'Historic Performance'!G5*(1+E7)</f>
        <v>182.84280000000001</v>
      </c>
      <c r="F6" s="15">
        <f>+E6*(1+F7)</f>
        <v>191.98494000000002</v>
      </c>
      <c r="G6" s="15">
        <f>+F6*(1+G7)</f>
        <v>197.74448820000003</v>
      </c>
      <c r="H6" s="15">
        <f>+G6*(1+H7)</f>
        <v>201.69937796400004</v>
      </c>
      <c r="I6" s="15">
        <f>+H6*(1+I7)</f>
        <v>205.73336552328004</v>
      </c>
      <c r="J6" s="15">
        <f>+I6*(1+J7)</f>
        <v>205.73336552328004</v>
      </c>
    </row>
    <row r="7" spans="2:16" x14ac:dyDescent="0.5">
      <c r="B7" s="2" t="s">
        <v>62</v>
      </c>
      <c r="E7" s="60">
        <v>0.05</v>
      </c>
      <c r="F7" s="60">
        <v>0.05</v>
      </c>
      <c r="G7" s="60">
        <v>0.03</v>
      </c>
      <c r="H7" s="60">
        <v>0.02</v>
      </c>
      <c r="I7" s="60">
        <v>0.02</v>
      </c>
      <c r="J7" s="60">
        <v>0</v>
      </c>
    </row>
    <row r="8" spans="2:16" x14ac:dyDescent="0.5">
      <c r="B8" s="6" t="s">
        <v>2</v>
      </c>
      <c r="C8" s="6"/>
      <c r="D8" s="6"/>
      <c r="E8" s="16">
        <f>+E6*E5</f>
        <v>147.18845400000001</v>
      </c>
      <c r="F8" s="16">
        <f t="shared" ref="F8:J8" si="4">+F6*F5</f>
        <v>156.46772610000002</v>
      </c>
      <c r="G8" s="16">
        <f t="shared" si="4"/>
        <v>162.15048032400003</v>
      </c>
      <c r="H8" s="16">
        <f t="shared" si="4"/>
        <v>166.40198682030001</v>
      </c>
      <c r="I8" s="16">
        <f t="shared" si="4"/>
        <v>170.75869338432241</v>
      </c>
      <c r="J8" s="16">
        <f t="shared" si="4"/>
        <v>170.75869338432241</v>
      </c>
    </row>
    <row r="9" spans="2:16" ht="9" customHeight="1" x14ac:dyDescent="0.5">
      <c r="B9" s="22"/>
      <c r="C9" s="22"/>
      <c r="D9" s="22"/>
      <c r="E9" s="23"/>
      <c r="F9" s="23"/>
      <c r="G9" s="23"/>
      <c r="H9" s="23"/>
    </row>
    <row r="10" spans="2:16" ht="13.9" x14ac:dyDescent="0.5">
      <c r="B10" s="24" t="s">
        <v>31</v>
      </c>
      <c r="C10" s="24"/>
      <c r="D10" s="24"/>
      <c r="E10" s="25"/>
      <c r="F10" s="25"/>
      <c r="G10" s="25"/>
      <c r="H10" s="25"/>
      <c r="I10" s="25"/>
      <c r="J10" s="25"/>
      <c r="L10" s="24" t="s">
        <v>43</v>
      </c>
      <c r="M10" s="6"/>
      <c r="N10" s="6"/>
      <c r="O10" s="6"/>
      <c r="P10" s="6"/>
    </row>
    <row r="11" spans="2:16" ht="13.9" x14ac:dyDescent="0.5">
      <c r="B11" s="1" t="s">
        <v>4</v>
      </c>
      <c r="C11" s="1"/>
      <c r="E11" s="10"/>
      <c r="F11" s="10"/>
      <c r="G11" s="10"/>
      <c r="H11" s="10"/>
      <c r="I11" s="10"/>
      <c r="J11" s="10"/>
      <c r="L11" s="2" t="s">
        <v>67</v>
      </c>
    </row>
    <row r="12" spans="2:16" x14ac:dyDescent="0.5">
      <c r="B12" s="18" t="s">
        <v>5</v>
      </c>
      <c r="C12" s="18"/>
      <c r="E12" s="7">
        <f>+E8*E4*366/1000</f>
        <v>12929.033799359999</v>
      </c>
      <c r="F12" s="7">
        <f>+F8*F4*365/1000</f>
        <v>13706.57280636</v>
      </c>
      <c r="G12" s="7">
        <f>+G8*G4*365/1000</f>
        <v>14204.382076382402</v>
      </c>
      <c r="H12" s="7">
        <f>+H8*H4*365/1000</f>
        <v>14576.814045458281</v>
      </c>
      <c r="I12" s="7">
        <f>+I8*I4*366/1000</f>
        <v>14999.443626878881</v>
      </c>
      <c r="J12" s="7">
        <f>+J8*J4*366/1000</f>
        <v>14999.443626878881</v>
      </c>
      <c r="K12" s="19"/>
    </row>
    <row r="13" spans="2:16" x14ac:dyDescent="0.5">
      <c r="B13" s="18" t="s">
        <v>6</v>
      </c>
      <c r="C13" s="18"/>
      <c r="E13" s="7">
        <f>+'Historic Performance'!G11*(1+L13)</f>
        <v>4557</v>
      </c>
      <c r="F13" s="7">
        <f t="shared" ref="F13:I14" si="5">+E13*(1+M13)</f>
        <v>4766</v>
      </c>
      <c r="G13" s="7">
        <f t="shared" si="5"/>
        <v>4991</v>
      </c>
      <c r="H13" s="7">
        <f t="shared" si="5"/>
        <v>5092</v>
      </c>
      <c r="I13" s="7">
        <f t="shared" si="5"/>
        <v>5194.0000000000009</v>
      </c>
      <c r="J13" s="7">
        <f>+I13</f>
        <v>5194.0000000000009</v>
      </c>
      <c r="L13" s="61">
        <v>2.3125280646609792E-2</v>
      </c>
      <c r="M13" s="61">
        <v>4.5863506692999767E-2</v>
      </c>
      <c r="N13" s="61">
        <v>4.7209399916072092E-2</v>
      </c>
      <c r="O13" s="61">
        <v>2.023642556601879E-2</v>
      </c>
      <c r="P13" s="61">
        <v>2.0031421838177632E-2</v>
      </c>
    </row>
    <row r="14" spans="2:16" x14ac:dyDescent="0.5">
      <c r="B14" s="18" t="s">
        <v>7</v>
      </c>
      <c r="C14" s="18"/>
      <c r="E14" s="7">
        <f>+'Historic Performance'!G12*(1+L14)</f>
        <v>594</v>
      </c>
      <c r="F14" s="7">
        <f t="shared" si="5"/>
        <v>613</v>
      </c>
      <c r="G14" s="7">
        <f t="shared" si="5"/>
        <v>634</v>
      </c>
      <c r="H14" s="7">
        <f t="shared" si="5"/>
        <v>646.00000000000011</v>
      </c>
      <c r="I14" s="7">
        <f t="shared" si="5"/>
        <v>654.00000000000011</v>
      </c>
      <c r="J14" s="7">
        <f>+I14</f>
        <v>654.00000000000011</v>
      </c>
      <c r="L14" s="61">
        <v>-3.020408163265309E-2</v>
      </c>
      <c r="M14" s="61">
        <v>3.1986531986532007E-2</v>
      </c>
      <c r="N14" s="61">
        <v>3.4257748776509001E-2</v>
      </c>
      <c r="O14" s="61">
        <v>1.8927444794952786E-2</v>
      </c>
      <c r="P14" s="61">
        <v>1.2383900928792491E-2</v>
      </c>
    </row>
    <row r="15" spans="2:16" ht="13.9" x14ac:dyDescent="0.5">
      <c r="B15" s="8" t="s">
        <v>24</v>
      </c>
      <c r="C15" s="8"/>
      <c r="D15" s="8"/>
      <c r="E15" s="9">
        <f>+SUM(E12:E14)</f>
        <v>18080.033799359997</v>
      </c>
      <c r="F15" s="9">
        <f t="shared" ref="F15:J15" si="6">+SUM(F12:F14)</f>
        <v>19085.57280636</v>
      </c>
      <c r="G15" s="9">
        <f t="shared" si="6"/>
        <v>19829.382076382404</v>
      </c>
      <c r="H15" s="9">
        <f t="shared" si="6"/>
        <v>20314.814045458283</v>
      </c>
      <c r="I15" s="9">
        <f t="shared" si="6"/>
        <v>20847.443626878881</v>
      </c>
      <c r="J15" s="9">
        <f t="shared" si="6"/>
        <v>20847.443626878881</v>
      </c>
    </row>
    <row r="16" spans="2:16" ht="13.9" x14ac:dyDescent="0.5">
      <c r="B16" s="1" t="s">
        <v>8</v>
      </c>
      <c r="C16" s="1"/>
      <c r="E16" s="10"/>
      <c r="F16" s="10"/>
      <c r="G16" s="10"/>
      <c r="H16" s="10"/>
      <c r="I16" s="10"/>
      <c r="J16" s="10"/>
      <c r="L16" s="2" t="s">
        <v>68</v>
      </c>
    </row>
    <row r="17" spans="2:17" x14ac:dyDescent="0.5">
      <c r="B17" s="18" t="s">
        <v>9</v>
      </c>
      <c r="C17" s="18"/>
      <c r="E17" s="7">
        <f>+E12*(L17)</f>
        <v>3544.869420542449</v>
      </c>
      <c r="F17" s="7">
        <f>+F12*(M17)</f>
        <v>3632.5236167091953</v>
      </c>
      <c r="G17" s="7">
        <f>+G12*(N17)</f>
        <v>3693.389451832234</v>
      </c>
      <c r="H17" s="7">
        <f>+H12*(O17)</f>
        <v>3791.9790017484443</v>
      </c>
      <c r="I17" s="7">
        <f>+I12*(P17)</f>
        <v>3846.0587789325377</v>
      </c>
      <c r="J17" s="7">
        <f>+I17</f>
        <v>3846.0587789325377</v>
      </c>
      <c r="K17" s="20"/>
      <c r="L17" s="61">
        <v>0.27417898936252483</v>
      </c>
      <c r="M17" s="61">
        <v>0.26502056115907141</v>
      </c>
      <c r="N17" s="61">
        <v>0.26001760808541086</v>
      </c>
      <c r="O17" s="61">
        <v>0.26013770841303396</v>
      </c>
      <c r="P17" s="61">
        <v>0.25641342936483535</v>
      </c>
    </row>
    <row r="18" spans="2:17" x14ac:dyDescent="0.5">
      <c r="B18" s="18" t="s">
        <v>6</v>
      </c>
      <c r="C18" s="18"/>
      <c r="E18" s="7">
        <f t="shared" ref="E18:I18" si="7">+E13*(L18)</f>
        <v>3426</v>
      </c>
      <c r="F18" s="7">
        <f t="shared" si="7"/>
        <v>3503</v>
      </c>
      <c r="G18" s="7">
        <f t="shared" si="7"/>
        <v>3568</v>
      </c>
      <c r="H18" s="7">
        <f t="shared" si="7"/>
        <v>3634</v>
      </c>
      <c r="I18" s="7">
        <f t="shared" si="7"/>
        <v>3699.0000000000009</v>
      </c>
      <c r="J18" s="7">
        <f t="shared" ref="J18:J19" si="8">+I18</f>
        <v>3699.0000000000009</v>
      </c>
      <c r="K18" s="20"/>
      <c r="L18" s="61">
        <v>0.7518104015799868</v>
      </c>
      <c r="M18" s="61">
        <v>0.73499790180444813</v>
      </c>
      <c r="N18" s="61">
        <v>0.71488679623321982</v>
      </c>
      <c r="O18" s="61">
        <v>0.713668499607227</v>
      </c>
      <c r="P18" s="61">
        <v>0.7121678860223335</v>
      </c>
    </row>
    <row r="19" spans="2:17" x14ac:dyDescent="0.5">
      <c r="B19" s="18" t="s">
        <v>7</v>
      </c>
      <c r="C19" s="18"/>
      <c r="E19" s="7">
        <f t="shared" ref="E19:I19" si="9">+E14*(L19)</f>
        <v>338</v>
      </c>
      <c r="F19" s="7">
        <f t="shared" si="9"/>
        <v>261</v>
      </c>
      <c r="G19" s="7">
        <f t="shared" si="9"/>
        <v>260</v>
      </c>
      <c r="H19" s="7">
        <f t="shared" si="9"/>
        <v>265.00000000000006</v>
      </c>
      <c r="I19" s="7">
        <f t="shared" si="9"/>
        <v>268.00000000000006</v>
      </c>
      <c r="J19" s="7">
        <f t="shared" si="8"/>
        <v>268.00000000000006</v>
      </c>
      <c r="K19" s="4"/>
      <c r="L19" s="62">
        <v>0.56902356902356899</v>
      </c>
      <c r="M19" s="62">
        <v>0.42577487765089722</v>
      </c>
      <c r="N19" s="62">
        <v>0.41009463722397477</v>
      </c>
      <c r="O19" s="62">
        <v>0.41021671826625389</v>
      </c>
      <c r="P19" s="62">
        <v>0.40978593272171254</v>
      </c>
      <c r="Q19" s="4"/>
    </row>
    <row r="20" spans="2:17" ht="13.9" x14ac:dyDescent="0.5">
      <c r="B20" s="8" t="s">
        <v>10</v>
      </c>
      <c r="C20" s="8"/>
      <c r="D20" s="8"/>
      <c r="E20" s="11">
        <f>+SUM(E17:E19)</f>
        <v>7308.869420542449</v>
      </c>
      <c r="F20" s="11">
        <f t="shared" ref="F20:J20" si="10">+SUM(F17:F19)</f>
        <v>7396.5236167091953</v>
      </c>
      <c r="G20" s="11">
        <f t="shared" si="10"/>
        <v>7521.389451832234</v>
      </c>
      <c r="H20" s="11">
        <f t="shared" si="10"/>
        <v>7690.9790017484447</v>
      </c>
      <c r="I20" s="11">
        <f t="shared" si="10"/>
        <v>7813.0587789325382</v>
      </c>
      <c r="J20" s="11">
        <f t="shared" si="10"/>
        <v>7813.0587789325382</v>
      </c>
    </row>
    <row r="21" spans="2:17" ht="13.9" x14ac:dyDescent="0.5">
      <c r="B21" s="1" t="s">
        <v>11</v>
      </c>
      <c r="C21" s="1"/>
      <c r="E21" s="10"/>
      <c r="F21" s="10"/>
      <c r="G21" s="10"/>
      <c r="H21" s="10"/>
      <c r="I21" s="10"/>
      <c r="J21" s="10"/>
      <c r="L21" s="2" t="s">
        <v>63</v>
      </c>
    </row>
    <row r="22" spans="2:17" x14ac:dyDescent="0.5">
      <c r="B22" s="18" t="s">
        <v>25</v>
      </c>
      <c r="C22" s="18"/>
      <c r="E22" s="7">
        <f>+E$15*L22</f>
        <v>999.61161502242396</v>
      </c>
      <c r="F22" s="7">
        <f t="shared" ref="F22:H22" si="11">+F$15*M22</f>
        <v>1109.437942991151</v>
      </c>
      <c r="G22" s="7">
        <f t="shared" si="11"/>
        <v>1175.5132159777352</v>
      </c>
      <c r="H22" s="7">
        <f t="shared" si="11"/>
        <v>1250.4990879831112</v>
      </c>
      <c r="I22" s="7">
        <f>+I$15*P22</f>
        <v>1281.6866171596644</v>
      </c>
      <c r="J22" s="7">
        <f t="shared" ref="J22:J26" si="12">+I22</f>
        <v>1281.6866171596644</v>
      </c>
      <c r="L22" s="61">
        <v>5.5288149685749403E-2</v>
      </c>
      <c r="M22" s="61">
        <v>5.8129664445881676E-2</v>
      </c>
      <c r="N22" s="61">
        <v>5.9281384132378941E-2</v>
      </c>
      <c r="O22" s="61">
        <v>6.1556019424292063E-2</v>
      </c>
      <c r="P22" s="61">
        <v>6.1479318044883401E-2</v>
      </c>
    </row>
    <row r="23" spans="2:17" x14ac:dyDescent="0.5">
      <c r="B23" s="18" t="s">
        <v>12</v>
      </c>
      <c r="C23" s="18"/>
      <c r="E23" s="7">
        <f t="shared" ref="E23:E26" si="13">+E$15*L23</f>
        <v>653.01261282871928</v>
      </c>
      <c r="F23" s="7">
        <f t="shared" ref="F23:F26" si="14">+F$15*M23</f>
        <v>755.84805247651389</v>
      </c>
      <c r="G23" s="7">
        <f t="shared" ref="G23:G26" si="15">+G$15*N23</f>
        <v>786.65146014375023</v>
      </c>
      <c r="H23" s="7">
        <f t="shared" ref="H23:I26" si="16">+H$15*O23</f>
        <v>807.09502889746625</v>
      </c>
      <c r="I23" s="7">
        <f t="shared" si="16"/>
        <v>827.96553055133722</v>
      </c>
      <c r="J23" s="7">
        <f t="shared" si="12"/>
        <v>827.96553055133722</v>
      </c>
      <c r="L23" s="61">
        <v>3.6117886729384034E-2</v>
      </c>
      <c r="M23" s="61">
        <v>3.9603110692315091E-2</v>
      </c>
      <c r="N23" s="61">
        <v>3.9671002208418987E-2</v>
      </c>
      <c r="O23" s="61">
        <v>3.9729383054722366E-2</v>
      </c>
      <c r="P23" s="61">
        <v>3.9715446429308507E-2</v>
      </c>
    </row>
    <row r="24" spans="2:17" x14ac:dyDescent="0.5">
      <c r="B24" s="18" t="s">
        <v>13</v>
      </c>
      <c r="C24" s="18"/>
      <c r="E24" s="7">
        <f t="shared" si="13"/>
        <v>632.91991704937402</v>
      </c>
      <c r="F24" s="7">
        <f t="shared" si="14"/>
        <v>726.05115159044897</v>
      </c>
      <c r="G24" s="7">
        <f t="shared" si="15"/>
        <v>755.89963761606271</v>
      </c>
      <c r="H24" s="7">
        <f t="shared" si="16"/>
        <v>781.18827488347347</v>
      </c>
      <c r="I24" s="7">
        <f t="shared" si="16"/>
        <v>800.80262736192526</v>
      </c>
      <c r="J24" s="7">
        <f t="shared" si="12"/>
        <v>800.80262736192526</v>
      </c>
      <c r="L24" s="61">
        <v>3.5006567137710679E-2</v>
      </c>
      <c r="M24" s="61">
        <v>3.8041884252407794E-2</v>
      </c>
      <c r="N24" s="61">
        <v>3.8120181188922159E-2</v>
      </c>
      <c r="O24" s="61">
        <v>3.8454118907286831E-2</v>
      </c>
      <c r="P24" s="61">
        <v>3.8412509547666555E-2</v>
      </c>
    </row>
    <row r="25" spans="2:17" x14ac:dyDescent="0.5">
      <c r="B25" s="18" t="s">
        <v>14</v>
      </c>
      <c r="C25" s="18"/>
      <c r="E25" s="7">
        <f t="shared" si="13"/>
        <v>602.78087338035607</v>
      </c>
      <c r="F25" s="7">
        <f t="shared" si="14"/>
        <v>665.46411978878359</v>
      </c>
      <c r="G25" s="7">
        <f t="shared" si="15"/>
        <v>695.3879868357742</v>
      </c>
      <c r="H25" s="7">
        <f t="shared" si="16"/>
        <v>729.37476685548802</v>
      </c>
      <c r="I25" s="7">
        <f t="shared" si="16"/>
        <v>747.48285443456086</v>
      </c>
      <c r="J25" s="7">
        <f t="shared" si="12"/>
        <v>747.48285443456086</v>
      </c>
      <c r="L25" s="61">
        <v>3.3339587750200642E-2</v>
      </c>
      <c r="M25" s="61">
        <v>3.4867390491262959E-2</v>
      </c>
      <c r="N25" s="61">
        <v>3.5068565634428388E-2</v>
      </c>
      <c r="O25" s="61">
        <v>3.590359061241577E-2</v>
      </c>
      <c r="P25" s="61">
        <v>3.5854892705924936E-2</v>
      </c>
    </row>
    <row r="26" spans="2:17" x14ac:dyDescent="0.5">
      <c r="B26" s="18" t="s">
        <v>15</v>
      </c>
      <c r="C26" s="18"/>
      <c r="E26" s="7">
        <f t="shared" si="13"/>
        <v>492.27104659395752</v>
      </c>
      <c r="F26" s="7">
        <f t="shared" si="14"/>
        <v>564.15465677616282</v>
      </c>
      <c r="G26" s="7">
        <f t="shared" si="15"/>
        <v>603.1325192527114</v>
      </c>
      <c r="H26" s="7">
        <f t="shared" si="16"/>
        <v>614.78720102436625</v>
      </c>
      <c r="I26" s="7">
        <f t="shared" si="16"/>
        <v>629.77694061377542</v>
      </c>
      <c r="J26" s="7">
        <f t="shared" si="12"/>
        <v>629.77694061377542</v>
      </c>
      <c r="L26" s="62">
        <v>2.7227329995997192E-2</v>
      </c>
      <c r="M26" s="62">
        <v>2.955922059557815E-2</v>
      </c>
      <c r="N26" s="62">
        <v>3.0416102575937888E-2</v>
      </c>
      <c r="O26" s="62">
        <v>3.0262999191066297E-2</v>
      </c>
      <c r="P26" s="62">
        <v>3.0208832885476461E-2</v>
      </c>
    </row>
    <row r="27" spans="2:17" ht="13.9" x14ac:dyDescent="0.5">
      <c r="B27" s="8" t="s">
        <v>16</v>
      </c>
      <c r="C27" s="8"/>
      <c r="D27" s="8"/>
      <c r="E27" s="11">
        <f>+SUM(E22:E26)</f>
        <v>3380.596064874831</v>
      </c>
      <c r="F27" s="11">
        <f t="shared" ref="F27:J27" si="17">+SUM(F22:F26)</f>
        <v>3820.9559236230602</v>
      </c>
      <c r="G27" s="11">
        <f t="shared" si="17"/>
        <v>4016.5848198260342</v>
      </c>
      <c r="H27" s="11">
        <f t="shared" si="17"/>
        <v>4182.944359643905</v>
      </c>
      <c r="I27" s="11">
        <f t="shared" si="17"/>
        <v>4287.714570121263</v>
      </c>
      <c r="J27" s="11">
        <f t="shared" si="17"/>
        <v>4287.714570121263</v>
      </c>
    </row>
    <row r="28" spans="2:17" ht="13.9" x14ac:dyDescent="0.5">
      <c r="B28" s="17" t="s">
        <v>17</v>
      </c>
      <c r="C28" s="17"/>
      <c r="D28" s="17"/>
      <c r="E28" s="21">
        <f>+E15-E20-E27</f>
        <v>7390.5683139427165</v>
      </c>
      <c r="F28" s="21">
        <f t="shared" ref="F28:J28" si="18">+F15-F20-F27</f>
        <v>7868.0932660277449</v>
      </c>
      <c r="G28" s="21">
        <f t="shared" si="18"/>
        <v>8291.4078047241364</v>
      </c>
      <c r="H28" s="21">
        <f t="shared" si="18"/>
        <v>8440.8906840659329</v>
      </c>
      <c r="I28" s="21">
        <f t="shared" si="18"/>
        <v>8746.6702778250801</v>
      </c>
      <c r="J28" s="21">
        <f t="shared" si="18"/>
        <v>8746.6702778250801</v>
      </c>
    </row>
    <row r="29" spans="2:17" ht="13.9" x14ac:dyDescent="0.5">
      <c r="B29" s="1" t="s">
        <v>18</v>
      </c>
      <c r="C29" s="1"/>
      <c r="E29" s="10"/>
      <c r="F29" s="10"/>
      <c r="G29" s="10"/>
      <c r="H29" s="10"/>
      <c r="I29" s="10"/>
      <c r="J29" s="10"/>
      <c r="L29" s="2" t="s">
        <v>64</v>
      </c>
    </row>
    <row r="30" spans="2:17" x14ac:dyDescent="0.5">
      <c r="B30" s="18" t="s">
        <v>19</v>
      </c>
      <c r="C30" s="18"/>
      <c r="E30" s="7">
        <f t="shared" ref="E30" si="19">+E$15*L30</f>
        <v>806.72173554070991</v>
      </c>
      <c r="F30" s="7">
        <f t="shared" ref="F30" si="20">+F$15*M30</f>
        <v>890.9273364933415</v>
      </c>
      <c r="G30" s="7">
        <f t="shared" ref="G30" si="21">+G$15*N30</f>
        <v>952.31450408322848</v>
      </c>
      <c r="H30" s="7">
        <f t="shared" ref="H30" si="22">+H$15*O30</f>
        <v>970.50686190880504</v>
      </c>
      <c r="I30" s="7">
        <f t="shared" ref="I30" si="23">+I$15*P30</f>
        <v>1003.0153511053261</v>
      </c>
      <c r="J30" s="7">
        <f>+I30</f>
        <v>1003.0153511053261</v>
      </c>
      <c r="L30" s="62">
        <v>4.4619481605685192E-2</v>
      </c>
      <c r="M30" s="62">
        <v>4.6680670553228165E-2</v>
      </c>
      <c r="N30" s="62">
        <v>4.8025425119901925E-2</v>
      </c>
      <c r="O30" s="62">
        <v>4.7773356907777266E-2</v>
      </c>
      <c r="P30" s="62">
        <v>4.8112150777667784E-2</v>
      </c>
    </row>
    <row r="31" spans="2:17" ht="13.9" x14ac:dyDescent="0.5">
      <c r="B31" s="8" t="s">
        <v>20</v>
      </c>
      <c r="C31" s="8"/>
      <c r="D31" s="8"/>
      <c r="E31" s="9">
        <f>+E28-E30</f>
        <v>6583.8465784020063</v>
      </c>
      <c r="F31" s="9">
        <f t="shared" ref="F31:J31" si="24">+F28-F30</f>
        <v>6977.1659295344034</v>
      </c>
      <c r="G31" s="9">
        <f t="shared" si="24"/>
        <v>7339.0933006409077</v>
      </c>
      <c r="H31" s="9">
        <f t="shared" si="24"/>
        <v>7470.3838221571277</v>
      </c>
      <c r="I31" s="9">
        <f t="shared" si="24"/>
        <v>7743.6549267197543</v>
      </c>
      <c r="J31" s="9">
        <f t="shared" si="24"/>
        <v>7743.6549267197543</v>
      </c>
      <c r="L31" s="2" t="s">
        <v>65</v>
      </c>
    </row>
    <row r="32" spans="2:17" x14ac:dyDescent="0.5">
      <c r="B32" s="2" t="s">
        <v>21</v>
      </c>
      <c r="E32" s="7">
        <f t="shared" ref="E32" si="25">+E$15*L32</f>
        <v>632.91991704937402</v>
      </c>
      <c r="F32" s="7">
        <f t="shared" ref="F32" si="26">+F$15*M32</f>
        <v>782.6652632739723</v>
      </c>
      <c r="G32" s="7">
        <f t="shared" ref="G32" si="27">+G$15*N32</f>
        <v>775.73952311779658</v>
      </c>
      <c r="H32" s="7">
        <f t="shared" ref="H32" si="28">+H$15*O32</f>
        <v>753.28869363763522</v>
      </c>
      <c r="I32" s="7">
        <f t="shared" ref="I32" si="29">+I$15*P32</f>
        <v>814.88709568236106</v>
      </c>
      <c r="J32" s="7">
        <f>+I32</f>
        <v>814.88709568236106</v>
      </c>
      <c r="L32" s="62">
        <v>3.5006567137710679E-2</v>
      </c>
      <c r="M32" s="62">
        <v>4.1008214488231658E-2</v>
      </c>
      <c r="N32" s="62">
        <v>3.9120710878920113E-2</v>
      </c>
      <c r="O32" s="62">
        <v>3.7080757517740877E-2</v>
      </c>
      <c r="P32" s="62">
        <v>3.9088106449258676E-2</v>
      </c>
    </row>
    <row r="33" spans="2:16" ht="13.9" x14ac:dyDescent="0.5">
      <c r="B33" s="8" t="s">
        <v>59</v>
      </c>
      <c r="C33" s="8"/>
      <c r="D33" s="8"/>
      <c r="E33" s="9">
        <f>+E31-E32</f>
        <v>5950.9266613526324</v>
      </c>
      <c r="F33" s="9">
        <f t="shared" ref="F33:J33" si="30">+F31-F32</f>
        <v>6194.500666260431</v>
      </c>
      <c r="G33" s="9">
        <f t="shared" si="30"/>
        <v>6563.3537775231107</v>
      </c>
      <c r="H33" s="9">
        <f t="shared" si="30"/>
        <v>6717.0951285194924</v>
      </c>
      <c r="I33" s="9">
        <f t="shared" si="30"/>
        <v>6928.7678310373931</v>
      </c>
      <c r="J33" s="9">
        <f t="shared" si="30"/>
        <v>6928.7678310373931</v>
      </c>
      <c r="L33" s="2" t="s">
        <v>66</v>
      </c>
    </row>
    <row r="34" spans="2:16" x14ac:dyDescent="0.5">
      <c r="B34" s="18" t="s">
        <v>26</v>
      </c>
      <c r="C34" s="18"/>
      <c r="E34" s="7">
        <f t="shared" ref="E34" si="31">+E$15*L34</f>
        <v>806.72173554070991</v>
      </c>
      <c r="F34" s="7">
        <f t="shared" ref="F34" si="32">+F$15*M34</f>
        <v>804.51632392375313</v>
      </c>
      <c r="G34" s="7">
        <f t="shared" ref="G34" si="33">+G$15*N34</f>
        <v>858.07504794999238</v>
      </c>
      <c r="H34" s="7">
        <f t="shared" ref="H34" si="34">+H$15*O34</f>
        <v>896.77225433051797</v>
      </c>
      <c r="I34" s="7">
        <f t="shared" ref="I34" si="35">+I$15*P34</f>
        <v>923.53870844000926</v>
      </c>
      <c r="J34" s="7">
        <f>+I34</f>
        <v>923.53870844000926</v>
      </c>
      <c r="L34" s="62">
        <v>4.4619481605685192E-2</v>
      </c>
      <c r="M34" s="62">
        <v>4.2153113877497005E-2</v>
      </c>
      <c r="N34" s="62">
        <v>4.3272909092411632E-2</v>
      </c>
      <c r="O34" s="62">
        <v>4.4143758949691518E-2</v>
      </c>
      <c r="P34" s="62">
        <v>4.4299853975826503E-2</v>
      </c>
    </row>
    <row r="35" spans="2:16" ht="13.9" x14ac:dyDescent="0.5">
      <c r="B35" s="17" t="s">
        <v>27</v>
      </c>
      <c r="C35" s="17"/>
      <c r="D35" s="17"/>
      <c r="E35" s="21">
        <f>+E33-E34</f>
        <v>5144.2049258119223</v>
      </c>
      <c r="F35" s="21">
        <f t="shared" ref="F35:J35" si="36">+F33-F34</f>
        <v>5389.9843423366783</v>
      </c>
      <c r="G35" s="21">
        <f t="shared" si="36"/>
        <v>5705.2787295731187</v>
      </c>
      <c r="H35" s="21">
        <f t="shared" si="36"/>
        <v>5820.3228741889743</v>
      </c>
      <c r="I35" s="21">
        <f t="shared" si="36"/>
        <v>6005.229122597384</v>
      </c>
      <c r="J35" s="21">
        <f t="shared" si="36"/>
        <v>6005.229122597384</v>
      </c>
      <c r="M35" s="20"/>
    </row>
    <row r="36" spans="2:16" x14ac:dyDescent="0.5">
      <c r="B36" s="18" t="s">
        <v>28</v>
      </c>
      <c r="C36" s="2" t="s">
        <v>41</v>
      </c>
      <c r="E36" s="7">
        <f>27000*6%</f>
        <v>1620</v>
      </c>
      <c r="F36" s="7">
        <f t="shared" ref="F36:J36" si="37">27000*6%</f>
        <v>1620</v>
      </c>
      <c r="G36" s="7">
        <f t="shared" si="37"/>
        <v>1620</v>
      </c>
      <c r="H36" s="7">
        <f t="shared" si="37"/>
        <v>1620</v>
      </c>
      <c r="I36" s="7">
        <f t="shared" si="37"/>
        <v>1620</v>
      </c>
      <c r="J36" s="7">
        <f t="shared" si="37"/>
        <v>1620</v>
      </c>
    </row>
    <row r="37" spans="2:16" ht="13.9" x14ac:dyDescent="0.5">
      <c r="B37" s="17" t="s">
        <v>29</v>
      </c>
      <c r="C37" s="17"/>
      <c r="D37" s="17"/>
      <c r="E37" s="21">
        <f>+E35-E36</f>
        <v>3524.2049258119223</v>
      </c>
      <c r="F37" s="21">
        <f t="shared" ref="F37:J37" si="38">+F35-F36</f>
        <v>3769.9843423366783</v>
      </c>
      <c r="G37" s="21">
        <f t="shared" si="38"/>
        <v>4085.2787295731187</v>
      </c>
      <c r="H37" s="21">
        <f t="shared" si="38"/>
        <v>4200.3228741889743</v>
      </c>
      <c r="I37" s="21">
        <f t="shared" si="38"/>
        <v>4385.229122597384</v>
      </c>
      <c r="J37" s="21">
        <f t="shared" si="38"/>
        <v>4385.229122597384</v>
      </c>
    </row>
    <row r="38" spans="2:16" x14ac:dyDescent="0.5">
      <c r="B38" s="18" t="s">
        <v>37</v>
      </c>
      <c r="E38" s="6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2:16" ht="13.9" x14ac:dyDescent="0.5">
      <c r="B39" s="8" t="s">
        <v>38</v>
      </c>
      <c r="C39" s="8"/>
      <c r="D39" s="8"/>
      <c r="E39" s="9">
        <f>+E37-E38</f>
        <v>3524.2049258119223</v>
      </c>
      <c r="F39" s="9">
        <f t="shared" ref="F39:J39" si="39">+F37-F38</f>
        <v>3769.9843423366783</v>
      </c>
      <c r="G39" s="9">
        <f t="shared" si="39"/>
        <v>4085.2787295731187</v>
      </c>
      <c r="H39" s="9">
        <f t="shared" si="39"/>
        <v>4200.3228741889743</v>
      </c>
      <c r="I39" s="9">
        <f t="shared" si="39"/>
        <v>4385.229122597384</v>
      </c>
      <c r="J39" s="9">
        <f t="shared" si="39"/>
        <v>4385.229122597384</v>
      </c>
    </row>
    <row r="40" spans="2:16" x14ac:dyDescent="0.5">
      <c r="B40" s="18" t="s">
        <v>39</v>
      </c>
      <c r="C40" s="26">
        <v>0.35</v>
      </c>
      <c r="D40" s="26"/>
      <c r="E40" s="7">
        <f t="shared" ref="E40:J40" si="40">+E39*$C$40</f>
        <v>1233.4717240341727</v>
      </c>
      <c r="F40" s="7">
        <f t="shared" si="40"/>
        <v>1319.4945198178373</v>
      </c>
      <c r="G40" s="7">
        <f t="shared" si="40"/>
        <v>1429.8475553505914</v>
      </c>
      <c r="H40" s="7">
        <f t="shared" si="40"/>
        <v>1470.1130059661409</v>
      </c>
      <c r="I40" s="7">
        <f t="shared" si="40"/>
        <v>1534.8301929090844</v>
      </c>
      <c r="J40" s="7">
        <f t="shared" si="40"/>
        <v>1534.8301929090844</v>
      </c>
    </row>
    <row r="41" spans="2:16" ht="13.9" x14ac:dyDescent="0.5">
      <c r="B41" s="17" t="s">
        <v>40</v>
      </c>
      <c r="C41" s="17"/>
      <c r="D41" s="17"/>
      <c r="E41" s="21">
        <f>+E39-E40</f>
        <v>2290.7332017777499</v>
      </c>
      <c r="F41" s="21">
        <f t="shared" ref="F41:J41" si="41">+F39-F40</f>
        <v>2450.4898225188408</v>
      </c>
      <c r="G41" s="21">
        <f t="shared" si="41"/>
        <v>2655.4311742225273</v>
      </c>
      <c r="H41" s="21">
        <f t="shared" si="41"/>
        <v>2730.2098682228334</v>
      </c>
      <c r="I41" s="21">
        <f t="shared" si="41"/>
        <v>2850.3989296882996</v>
      </c>
      <c r="J41" s="21">
        <f t="shared" si="41"/>
        <v>2850.3989296882996</v>
      </c>
    </row>
    <row r="42" spans="2:16" x14ac:dyDescent="0.5">
      <c r="B42" s="2" t="s">
        <v>57</v>
      </c>
    </row>
    <row r="44" spans="2:16" s="27" customFormat="1" ht="13.9" x14ac:dyDescent="0.4">
      <c r="B44" s="72" t="s">
        <v>69</v>
      </c>
      <c r="C44" s="73"/>
      <c r="D44" s="67"/>
      <c r="E44" s="67"/>
      <c r="F44" s="67"/>
      <c r="G44" s="67"/>
      <c r="H44" s="67"/>
      <c r="I44" s="67"/>
      <c r="J44" s="2"/>
      <c r="K44" s="2"/>
      <c r="L44" s="2"/>
      <c r="M44" s="2"/>
      <c r="N44" s="2"/>
      <c r="O44" s="28"/>
    </row>
    <row r="45" spans="2:16" s="27" customFormat="1" ht="13.9" x14ac:dyDescent="0.4">
      <c r="B45" s="66" t="s">
        <v>70</v>
      </c>
      <c r="C45" s="68"/>
      <c r="D45" s="69"/>
      <c r="E45" s="70">
        <f>E15/'Historic Performance'!G13-1</f>
        <v>1.6617018342053091E-2</v>
      </c>
      <c r="F45" s="70">
        <f>F15/E15-1</f>
        <v>5.5615991549506916E-2</v>
      </c>
      <c r="G45" s="70">
        <f t="shared" ref="G45:I45" si="42">G15/F15-1</f>
        <v>3.8972331486668343E-2</v>
      </c>
      <c r="H45" s="70">
        <f t="shared" si="42"/>
        <v>2.4480438533384552E-2</v>
      </c>
      <c r="I45" s="70">
        <f t="shared" si="42"/>
        <v>2.621877710663445E-2</v>
      </c>
      <c r="J45" s="2"/>
      <c r="K45" s="2"/>
      <c r="L45" s="2"/>
      <c r="M45" s="2"/>
      <c r="N45" s="2"/>
      <c r="O45" s="28"/>
    </row>
    <row r="46" spans="2:16" s="27" customFormat="1" ht="13.9" x14ac:dyDescent="0.4">
      <c r="B46" s="66" t="s">
        <v>72</v>
      </c>
      <c r="C46" s="68"/>
      <c r="D46" s="69"/>
      <c r="E46" s="71">
        <f>E28/E15</f>
        <v>0.40876960717873934</v>
      </c>
      <c r="F46" s="71">
        <f>F28/F15</f>
        <v>0.41225345164415567</v>
      </c>
      <c r="G46" s="71">
        <f t="shared" ref="G46:I46" si="43">G28/G15</f>
        <v>0.41813747764735132</v>
      </c>
      <c r="H46" s="71">
        <f t="shared" si="43"/>
        <v>0.41550420620035333</v>
      </c>
      <c r="I46" s="71">
        <f t="shared" si="43"/>
        <v>0.4195560105291703</v>
      </c>
      <c r="J46" s="2"/>
      <c r="K46" s="2"/>
      <c r="L46" s="2"/>
      <c r="M46" s="2"/>
      <c r="N46" s="2"/>
      <c r="O46" s="28"/>
    </row>
    <row r="47" spans="2:16" s="27" customFormat="1" ht="13.9" x14ac:dyDescent="0.4">
      <c r="B47" s="74" t="s">
        <v>71</v>
      </c>
      <c r="C47" s="75"/>
      <c r="D47" s="76"/>
      <c r="E47" s="77">
        <f t="shared" ref="E47" si="44">E41/E15</f>
        <v>0.12669960837456168</v>
      </c>
      <c r="F47" s="77">
        <f>F41/F15</f>
        <v>0.12839487959733906</v>
      </c>
      <c r="G47" s="77">
        <f t="shared" ref="G47:I47" si="45">G41/G15</f>
        <v>0.13391396484236659</v>
      </c>
      <c r="H47" s="77">
        <f t="shared" si="45"/>
        <v>0.13439502139244133</v>
      </c>
      <c r="I47" s="77">
        <f t="shared" si="45"/>
        <v>0.13672654454444683</v>
      </c>
      <c r="J47" s="2"/>
      <c r="K47" s="2"/>
      <c r="L47" s="2"/>
      <c r="M47" s="2"/>
      <c r="N47" s="2"/>
      <c r="O47" s="28"/>
    </row>
    <row r="49" spans="1:18" ht="15.85" customHeight="1" x14ac:dyDescent="0.35">
      <c r="B49" s="1"/>
      <c r="C49" s="1"/>
      <c r="L49" s="27"/>
    </row>
    <row r="50" spans="1:18" s="27" customFormat="1" ht="13.9" x14ac:dyDescent="0.4">
      <c r="B50" s="28"/>
      <c r="C50" s="28"/>
      <c r="D50" s="43" t="s">
        <v>53</v>
      </c>
      <c r="E50" s="43" t="s">
        <v>1</v>
      </c>
      <c r="F50" s="43" t="s">
        <v>33</v>
      </c>
      <c r="G50" s="43" t="s">
        <v>34</v>
      </c>
      <c r="H50" s="43" t="s">
        <v>35</v>
      </c>
      <c r="I50" s="43" t="s">
        <v>36</v>
      </c>
      <c r="J50" s="43" t="s">
        <v>42</v>
      </c>
      <c r="K50" s="29" t="s">
        <v>43</v>
      </c>
      <c r="M50" s="2"/>
      <c r="N50" s="2"/>
      <c r="O50" s="2"/>
      <c r="P50" s="2"/>
    </row>
    <row r="51" spans="1:18" s="27" customFormat="1" ht="13.9" x14ac:dyDescent="0.4">
      <c r="A51" s="30"/>
      <c r="B51" s="79" t="s">
        <v>44</v>
      </c>
      <c r="C51" s="79"/>
      <c r="D51" s="78">
        <v>2015</v>
      </c>
      <c r="E51" s="78">
        <f>+E3</f>
        <v>2016</v>
      </c>
      <c r="F51" s="78">
        <f t="shared" ref="F51:I51" si="46">+F3</f>
        <v>2017</v>
      </c>
      <c r="G51" s="78">
        <f t="shared" si="46"/>
        <v>2018</v>
      </c>
      <c r="H51" s="78">
        <f t="shared" si="46"/>
        <v>2019</v>
      </c>
      <c r="I51" s="78">
        <f t="shared" si="46"/>
        <v>2020</v>
      </c>
      <c r="J51" s="78">
        <f>+I51</f>
        <v>2020</v>
      </c>
      <c r="K51" s="29" t="s">
        <v>45</v>
      </c>
      <c r="L51" s="51"/>
      <c r="M51" s="2"/>
      <c r="N51" s="2"/>
      <c r="O51" s="2"/>
      <c r="P51" s="2"/>
    </row>
    <row r="52" spans="1:18" s="27" customFormat="1" ht="13.9" x14ac:dyDescent="0.4">
      <c r="B52" s="27" t="s">
        <v>29</v>
      </c>
      <c r="D52" s="32"/>
      <c r="E52" s="44">
        <f>+E37</f>
        <v>3524.2049258119223</v>
      </c>
      <c r="F52" s="44">
        <f t="shared" ref="F52:I52" si="47">+F37</f>
        <v>3769.9843423366783</v>
      </c>
      <c r="G52" s="44">
        <f t="shared" si="47"/>
        <v>4085.2787295731187</v>
      </c>
      <c r="H52" s="44">
        <f t="shared" si="47"/>
        <v>4200.3228741889743</v>
      </c>
      <c r="I52" s="44">
        <f t="shared" si="47"/>
        <v>4385.229122597384</v>
      </c>
      <c r="J52" s="44">
        <f>+J37/(L52-L53)</f>
        <v>109630.72806493462</v>
      </c>
      <c r="K52" s="33" t="s">
        <v>46</v>
      </c>
      <c r="L52" s="51">
        <v>0.06</v>
      </c>
      <c r="M52" s="2"/>
      <c r="N52" s="2"/>
      <c r="O52" s="2"/>
      <c r="P52" s="2"/>
    </row>
    <row r="53" spans="1:18" s="27" customFormat="1" ht="13.9" x14ac:dyDescent="0.4">
      <c r="A53" s="34"/>
      <c r="B53" s="34" t="s">
        <v>47</v>
      </c>
      <c r="C53" s="34"/>
      <c r="D53" s="49"/>
      <c r="E53" s="45">
        <f>+E36</f>
        <v>1620</v>
      </c>
      <c r="F53" s="45">
        <f t="shared" ref="F53:I53" si="48">+F36</f>
        <v>1620</v>
      </c>
      <c r="G53" s="45">
        <f t="shared" si="48"/>
        <v>1620</v>
      </c>
      <c r="H53" s="45">
        <f t="shared" si="48"/>
        <v>1620</v>
      </c>
      <c r="I53" s="45">
        <f t="shared" si="48"/>
        <v>1620</v>
      </c>
      <c r="J53" s="45"/>
      <c r="K53" s="33" t="s">
        <v>48</v>
      </c>
      <c r="L53" s="48">
        <v>0.02</v>
      </c>
      <c r="M53" s="2"/>
      <c r="N53" s="2"/>
      <c r="O53" s="2"/>
      <c r="P53" s="2"/>
    </row>
    <row r="54" spans="1:18" s="27" customFormat="1" ht="15" customHeight="1" thickBot="1" x14ac:dyDescent="0.45">
      <c r="A54" s="35"/>
      <c r="B54" s="35" t="s">
        <v>49</v>
      </c>
      <c r="C54" s="35"/>
      <c r="D54" s="47">
        <v>-60000</v>
      </c>
      <c r="E54" s="46">
        <f>E52+E53</f>
        <v>5144.2049258119223</v>
      </c>
      <c r="F54" s="46">
        <f t="shared" ref="F54:H54" si="49">F52+F53</f>
        <v>5389.9843423366783</v>
      </c>
      <c r="G54" s="46">
        <f t="shared" si="49"/>
        <v>5705.2787295731187</v>
      </c>
      <c r="H54" s="46">
        <f t="shared" si="49"/>
        <v>5820.3228741889743</v>
      </c>
      <c r="I54" s="46">
        <f>I52+I53+J52+J53</f>
        <v>115635.95718753201</v>
      </c>
      <c r="J54" s="46"/>
      <c r="K54" s="2"/>
      <c r="L54" s="2"/>
      <c r="M54" s="2"/>
      <c r="N54" s="2"/>
      <c r="O54" s="2"/>
      <c r="P54" s="2"/>
      <c r="Q54" s="37"/>
      <c r="R54" s="38"/>
    </row>
    <row r="55" spans="1:18" s="35" customFormat="1" ht="14.25" thickBot="1" x14ac:dyDescent="0.45">
      <c r="B55" s="35" t="s">
        <v>50</v>
      </c>
      <c r="D55" s="83">
        <f>IRR(D54:I54)</f>
        <v>0.20277747252966982</v>
      </c>
      <c r="F55" s="39"/>
      <c r="G55" s="36"/>
      <c r="H55" s="36"/>
      <c r="I55" s="36"/>
      <c r="J55" s="36"/>
      <c r="K55" s="2"/>
      <c r="L55" s="2"/>
      <c r="M55" s="2"/>
      <c r="N55" s="2"/>
      <c r="O55" s="2"/>
      <c r="P55" s="2"/>
    </row>
    <row r="56" spans="1:18" s="27" customFormat="1" ht="13.9" x14ac:dyDescent="0.4">
      <c r="A56" s="40"/>
      <c r="B56" s="40" t="s">
        <v>51</v>
      </c>
      <c r="C56" s="40"/>
      <c r="D56" s="32">
        <f>+D54</f>
        <v>-60000</v>
      </c>
      <c r="E56" s="59">
        <f>+E52*(1-$C$40)+E53</f>
        <v>3910.7332017777494</v>
      </c>
      <c r="F56" s="59">
        <f>+F52*(1-$C$40)+F53</f>
        <v>4070.4898225188408</v>
      </c>
      <c r="G56" s="59">
        <f>+G52*(1-$C$40)+G53</f>
        <v>4275.4311742225273</v>
      </c>
      <c r="H56" s="59">
        <f>+H52*(1-$C$40)+H53</f>
        <v>4350.2098682228334</v>
      </c>
      <c r="I56" s="59">
        <f>+I52*(1-$C$40)+I53+J52*(1-$C$40)</f>
        <v>75730.372171895797</v>
      </c>
      <c r="J56" s="31"/>
      <c r="K56" s="2"/>
      <c r="L56" s="2"/>
      <c r="M56" s="2"/>
      <c r="N56" s="2"/>
      <c r="O56" s="2"/>
      <c r="P56" s="2"/>
      <c r="Q56" s="31"/>
    </row>
    <row r="57" spans="1:18" s="35" customFormat="1" ht="13.9" x14ac:dyDescent="0.4">
      <c r="A57" s="41"/>
      <c r="B57" s="41" t="s">
        <v>52</v>
      </c>
      <c r="C57" s="41"/>
      <c r="D57" s="82">
        <f>IRR(D56:I56)</f>
        <v>0.10051708556672989</v>
      </c>
      <c r="E57" s="86">
        <f>+E56/E54</f>
        <v>0.76022111447290541</v>
      </c>
      <c r="F57" s="86">
        <f t="shared" ref="F57:I57" si="50">+F56/F54</f>
        <v>0.75519511078100698</v>
      </c>
      <c r="G57" s="86">
        <f t="shared" si="50"/>
        <v>0.74938164757156822</v>
      </c>
      <c r="H57" s="86">
        <f t="shared" si="50"/>
        <v>0.74741727602680597</v>
      </c>
      <c r="I57" s="86">
        <f t="shared" si="50"/>
        <v>0.65490331912140842</v>
      </c>
      <c r="J57" s="36"/>
      <c r="K57" s="2"/>
      <c r="L57" s="2"/>
      <c r="M57" s="2"/>
      <c r="N57" s="2"/>
      <c r="O57" s="2"/>
      <c r="P57" s="2"/>
      <c r="Q57" s="42"/>
    </row>
    <row r="58" spans="1:18" ht="13.9" thickBot="1" x14ac:dyDescent="0.55000000000000004"/>
    <row r="59" spans="1:18" ht="14.25" thickBot="1" x14ac:dyDescent="0.45">
      <c r="B59" s="50" t="s">
        <v>60</v>
      </c>
      <c r="C59" s="26"/>
      <c r="D59" s="81">
        <f>NPV(F59,E56:I56)</f>
        <v>70937.740063396137</v>
      </c>
      <c r="E59" s="33" t="s">
        <v>46</v>
      </c>
      <c r="F59" s="48">
        <v>0.06</v>
      </c>
    </row>
    <row r="60" spans="1:18" x14ac:dyDescent="0.5">
      <c r="B60" s="18" t="s">
        <v>54</v>
      </c>
      <c r="C60" s="85">
        <f>+D60/$D$59</f>
        <v>0.75065257725813672</v>
      </c>
      <c r="D60" s="7">
        <f>+J52*(1-C40)/(1+F59)^5</f>
        <v>53249.597403456086</v>
      </c>
    </row>
    <row r="61" spans="1:18" x14ac:dyDescent="0.5">
      <c r="B61" s="18" t="s">
        <v>55</v>
      </c>
      <c r="C61" s="85">
        <f>+D61/$D$59</f>
        <v>0.24934742274186333</v>
      </c>
      <c r="D61" s="52">
        <f>+D59-D60</f>
        <v>17688.142659940051</v>
      </c>
    </row>
    <row r="63" spans="1:18" ht="15.95" customHeight="1" x14ac:dyDescent="0.5">
      <c r="B63" s="58" t="s">
        <v>61</v>
      </c>
      <c r="E63" s="84" t="s">
        <v>76</v>
      </c>
      <c r="F63" s="84"/>
      <c r="G63" s="84"/>
      <c r="H63" s="84"/>
      <c r="I63" s="84"/>
      <c r="J63" s="84"/>
      <c r="K63" s="84"/>
    </row>
    <row r="64" spans="1:18" x14ac:dyDescent="0.5">
      <c r="D64" s="53">
        <f>+D59</f>
        <v>70937.740063396137</v>
      </c>
      <c r="E64" s="55">
        <f t="shared" ref="E64:F64" si="51">+F64-1%</f>
        <v>2.9999999999999992E-2</v>
      </c>
      <c r="F64" s="55">
        <f t="shared" si="51"/>
        <v>3.9999999999999994E-2</v>
      </c>
      <c r="G64" s="55">
        <f>+H64-1%</f>
        <v>4.9999999999999996E-2</v>
      </c>
      <c r="H64" s="54">
        <v>0.06</v>
      </c>
      <c r="I64" s="55">
        <f>+H64+1%</f>
        <v>6.9999999999999993E-2</v>
      </c>
      <c r="J64" s="55">
        <f t="shared" ref="J64:K64" si="52">+I64+1%</f>
        <v>7.9999999999999988E-2</v>
      </c>
      <c r="K64" s="55">
        <f t="shared" si="52"/>
        <v>8.9999999999999983E-2</v>
      </c>
    </row>
    <row r="65" spans="3:11" ht="15.95" customHeight="1" x14ac:dyDescent="0.5">
      <c r="C65" s="88" t="s">
        <v>56</v>
      </c>
      <c r="D65" s="56">
        <f t="shared" ref="D65:D66" si="53">+D66-0.25%</f>
        <v>1.2500000000000001E-2</v>
      </c>
      <c r="E65" s="7">
        <v>70755</v>
      </c>
      <c r="F65" s="7">
        <v>67778</v>
      </c>
      <c r="G65" s="7">
        <v>64961</v>
      </c>
      <c r="H65" s="7">
        <v>62293.581102618678</v>
      </c>
      <c r="I65" s="7">
        <v>59767</v>
      </c>
      <c r="J65" s="7">
        <v>57372</v>
      </c>
      <c r="K65" s="7">
        <v>55101</v>
      </c>
    </row>
    <row r="66" spans="3:11" x14ac:dyDescent="0.5">
      <c r="C66" s="88"/>
      <c r="D66" s="56">
        <f t="shared" si="53"/>
        <v>1.5000000000000001E-2</v>
      </c>
      <c r="E66" s="7">
        <v>73614</v>
      </c>
      <c r="F66" s="7">
        <v>70502</v>
      </c>
      <c r="G66" s="7">
        <v>67557</v>
      </c>
      <c r="H66" s="7">
        <v>64770</v>
      </c>
      <c r="I66" s="7">
        <v>62130</v>
      </c>
      <c r="J66" s="7">
        <v>59627</v>
      </c>
      <c r="K66" s="7">
        <v>57255</v>
      </c>
    </row>
    <row r="67" spans="3:11" x14ac:dyDescent="0.5">
      <c r="C67" s="88"/>
      <c r="D67" s="56">
        <f>+D68-0.25%</f>
        <v>1.7500000000000002E-2</v>
      </c>
      <c r="E67" s="7">
        <v>76809</v>
      </c>
      <c r="F67" s="7">
        <v>73546</v>
      </c>
      <c r="G67" s="7">
        <v>70459</v>
      </c>
      <c r="H67" s="7">
        <v>67538</v>
      </c>
      <c r="I67" s="7">
        <v>64770</v>
      </c>
      <c r="J67" s="7">
        <v>62148</v>
      </c>
      <c r="K67" s="7">
        <v>59662</v>
      </c>
    </row>
    <row r="68" spans="3:11" ht="13.9" x14ac:dyDescent="0.5">
      <c r="C68" s="88"/>
      <c r="D68" s="57">
        <v>0.02</v>
      </c>
      <c r="E68" s="7">
        <v>80403</v>
      </c>
      <c r="F68" s="7">
        <v>76971</v>
      </c>
      <c r="G68" s="7">
        <v>73724</v>
      </c>
      <c r="H68" s="87">
        <v>70938</v>
      </c>
      <c r="I68" s="7">
        <v>67741</v>
      </c>
      <c r="J68" s="7">
        <v>64984</v>
      </c>
      <c r="K68" s="7">
        <v>62370</v>
      </c>
    </row>
    <row r="69" spans="3:11" x14ac:dyDescent="0.5">
      <c r="C69" s="88"/>
      <c r="D69" s="56">
        <f>+D68+0.25%</f>
        <v>2.2499999999999999E-2</v>
      </c>
      <c r="E69" s="7">
        <v>84477</v>
      </c>
      <c r="F69" s="7">
        <v>80852</v>
      </c>
      <c r="G69" s="7">
        <v>77424</v>
      </c>
      <c r="H69" s="7">
        <v>74180</v>
      </c>
      <c r="I69" s="7">
        <v>71108</v>
      </c>
      <c r="J69" s="7">
        <v>68198</v>
      </c>
      <c r="K69" s="7">
        <v>65439</v>
      </c>
    </row>
    <row r="70" spans="3:11" x14ac:dyDescent="0.5">
      <c r="C70" s="88"/>
      <c r="D70" s="56">
        <f t="shared" ref="D70:D71" si="54">+D69+0.25%</f>
        <v>2.4999999999999998E-2</v>
      </c>
      <c r="E70" s="7">
        <v>89132</v>
      </c>
      <c r="F70" s="7">
        <v>85288</v>
      </c>
      <c r="G70" s="7">
        <v>81653</v>
      </c>
      <c r="H70" s="7">
        <v>78213</v>
      </c>
      <c r="I70" s="7">
        <v>74956</v>
      </c>
      <c r="J70" s="7">
        <v>71871</v>
      </c>
      <c r="K70" s="7">
        <v>68947</v>
      </c>
    </row>
    <row r="71" spans="3:11" x14ac:dyDescent="0.5">
      <c r="C71" s="88"/>
      <c r="D71" s="56">
        <f t="shared" si="54"/>
        <v>2.7499999999999997E-2</v>
      </c>
      <c r="E71" s="7">
        <v>94504</v>
      </c>
      <c r="F71" s="7">
        <v>90406</v>
      </c>
      <c r="G71" s="7">
        <v>86532</v>
      </c>
      <c r="H71" s="7">
        <v>82866</v>
      </c>
      <c r="I71" s="7">
        <v>79396</v>
      </c>
      <c r="J71" s="7">
        <v>76109</v>
      </c>
      <c r="K71" s="7">
        <v>72994</v>
      </c>
    </row>
  </sheetData>
  <mergeCells count="2">
    <mergeCell ref="C65:C71"/>
    <mergeCell ref="E63:K63"/>
  </mergeCells>
  <conditionalFormatting sqref="E65:K71">
    <cfRule type="cellIs" dxfId="0" priority="1" operator="greaterThan">
      <formula>75000</formula>
    </cfRule>
  </conditionalFormatting>
  <pageMargins left="0.7" right="0.7" top="0.75" bottom="0.75" header="0.3" footer="0.3"/>
  <pageSetup paperSize="9" scale="42" orientation="portrait" r:id="rId1"/>
  <ignoredErrors>
    <ignoredError sqref="E31:J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 Performance</vt:lpstr>
      <vt:lpstr>Projected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Vergara, Carles</cp:lastModifiedBy>
  <dcterms:created xsi:type="dcterms:W3CDTF">2016-08-01T08:36:25Z</dcterms:created>
  <dcterms:modified xsi:type="dcterms:W3CDTF">2019-10-09T23:16:41Z</dcterms:modified>
</cp:coreProperties>
</file>